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8460" activeTab="1"/>
  </bookViews>
  <sheets>
    <sheet name="спец 2019" sheetId="1" r:id="rId1"/>
    <sheet name="ВУС2019" sheetId="2" r:id="rId2"/>
    <sheet name="бухг 2019" sheetId="3" r:id="rId3"/>
    <sheet name="МОП2019" sheetId="4" r:id="rId4"/>
    <sheet name="Глава2019" sheetId="5" r:id="rId5"/>
    <sheet name="Спец НСОТ 19" sheetId="6" r:id="rId6"/>
  </sheets>
  <definedNames/>
  <calcPr fullCalcOnLoad="1" refMode="R1C1"/>
</workbook>
</file>

<file path=xl/sharedStrings.xml><?xml version="1.0" encoding="utf-8"?>
<sst xmlns="http://schemas.openxmlformats.org/spreadsheetml/2006/main" count="373" uniqueCount="202">
  <si>
    <t>Согласовано:</t>
  </si>
  <si>
    <t>должность</t>
  </si>
  <si>
    <t>к-во</t>
  </si>
  <si>
    <t>сумма</t>
  </si>
  <si>
    <t>Итого:</t>
  </si>
  <si>
    <t>Всего</t>
  </si>
  <si>
    <t>ед.</t>
  </si>
  <si>
    <t>оклада</t>
  </si>
  <si>
    <t>%</t>
  </si>
  <si>
    <t>премия</t>
  </si>
  <si>
    <t>мат.пом.</t>
  </si>
  <si>
    <t xml:space="preserve">            ШТАТНОЕ  РАСПИСАНИЕ УЛАГАНСКОГО СЕЛЬСКОГО ПОСЕЛЕНИЯ</t>
  </si>
  <si>
    <t xml:space="preserve">                                     01.01.2008г.</t>
  </si>
  <si>
    <t>годовой</t>
  </si>
  <si>
    <t>спец.ВУС</t>
  </si>
  <si>
    <t>Главный бухгалтер ___________________Юлукова Е.И.</t>
  </si>
  <si>
    <t>Итого</t>
  </si>
  <si>
    <t>Сев.</t>
  </si>
  <si>
    <t>ФОТ</t>
  </si>
  <si>
    <t>уборщица</t>
  </si>
  <si>
    <t>итого:</t>
  </si>
  <si>
    <t>Р/к</t>
  </si>
  <si>
    <t>водитель</t>
  </si>
  <si>
    <t>дворник</t>
  </si>
  <si>
    <t>Главный бухгалтер __________________Юлукова Е.И.</t>
  </si>
  <si>
    <t>уровень</t>
  </si>
  <si>
    <t>ИТОГО:</t>
  </si>
  <si>
    <t>водопроводчик</t>
  </si>
  <si>
    <t>базовый</t>
  </si>
  <si>
    <t>оклад</t>
  </si>
  <si>
    <t>СК</t>
  </si>
  <si>
    <t>РК</t>
  </si>
  <si>
    <t>надбавка</t>
  </si>
  <si>
    <t>выплаты</t>
  </si>
  <si>
    <t>стимулирующие</t>
  </si>
  <si>
    <t xml:space="preserve">                      компенсационные выплаты</t>
  </si>
  <si>
    <t>доплата</t>
  </si>
  <si>
    <t>за ночное</t>
  </si>
  <si>
    <t xml:space="preserve">   премия</t>
  </si>
  <si>
    <t>за вредн.</t>
  </si>
  <si>
    <t>выплата</t>
  </si>
  <si>
    <t>администрации МО "Улаганский район"</t>
  </si>
  <si>
    <t>2 окл.</t>
  </si>
  <si>
    <t>Годовой</t>
  </si>
  <si>
    <t>Главный бухгалтер ______________________Юлукова Е.И.</t>
  </si>
  <si>
    <t>администрации МО"Улаганский район"</t>
  </si>
  <si>
    <t>Утверждено:</t>
  </si>
  <si>
    <t>выслуга лет</t>
  </si>
  <si>
    <t>Единовр.</t>
  </si>
  <si>
    <t>1 оклад</t>
  </si>
  <si>
    <t>Матер.</t>
  </si>
  <si>
    <t>помощь</t>
  </si>
  <si>
    <t>ежемесяч</t>
  </si>
  <si>
    <t>Улаганского района Республики Алтай</t>
  </si>
  <si>
    <t>Глава</t>
  </si>
  <si>
    <t>вознаграждение</t>
  </si>
  <si>
    <t>наименование</t>
  </si>
  <si>
    <t>должности</t>
  </si>
  <si>
    <t>кол-во</t>
  </si>
  <si>
    <t>шт.</t>
  </si>
  <si>
    <t>денежное</t>
  </si>
  <si>
    <t>ежемесяч.</t>
  </si>
  <si>
    <t>матпом.</t>
  </si>
  <si>
    <t>единов.</t>
  </si>
  <si>
    <t>40% ден.</t>
  </si>
  <si>
    <t>Специалист по оплате труда</t>
  </si>
  <si>
    <t>Штат.ед.</t>
  </si>
  <si>
    <t>Месяч.ставка</t>
  </si>
  <si>
    <t>Стимулирующие выплаты</t>
  </si>
  <si>
    <t>Компенсационные выплаты</t>
  </si>
  <si>
    <t>ИТОГО</t>
  </si>
  <si>
    <t>Северн. Коэф.</t>
  </si>
  <si>
    <t>Районн. коэф.</t>
  </si>
  <si>
    <t>ВСЕГО</t>
  </si>
  <si>
    <t>ВСЕГО ГОДОВОЙ ФОТ</t>
  </si>
  <si>
    <t>ПКГ</t>
  </si>
  <si>
    <t>за выслугу лет</t>
  </si>
  <si>
    <t>повыш.коэф.по заним.долж.</t>
  </si>
  <si>
    <t xml:space="preserve"> персон. повышающий коэфф. к окладу</t>
  </si>
  <si>
    <t>за вредные условия труда</t>
  </si>
  <si>
    <t>50%</t>
  </si>
  <si>
    <t>Главный бухгалтер     ___________       Юлукова Е.И.</t>
  </si>
  <si>
    <t>2 окл+120%.</t>
  </si>
  <si>
    <t>Наименование должности</t>
  </si>
  <si>
    <t>25</t>
  </si>
  <si>
    <t>завхоз</t>
  </si>
  <si>
    <t>213ст.</t>
  </si>
  <si>
    <t>Материаль. помощь  оклад</t>
  </si>
  <si>
    <t>4*%</t>
  </si>
  <si>
    <t>________________Бекенева Ч.Р.</t>
  </si>
  <si>
    <t>Вредность</t>
  </si>
  <si>
    <t>Всего: 0102</t>
  </si>
  <si>
    <t>_________________________Бекенева Ч.Р</t>
  </si>
  <si>
    <t>Р/К</t>
  </si>
  <si>
    <t>С/К</t>
  </si>
  <si>
    <t>Всего:</t>
  </si>
  <si>
    <t>мат.помощь</t>
  </si>
  <si>
    <t xml:space="preserve">ед.вып </t>
  </si>
  <si>
    <t>_________________   Бекенева Ч.Р.</t>
  </si>
  <si>
    <t>Квалиф.уровень</t>
  </si>
  <si>
    <t>бухгалтер</t>
  </si>
  <si>
    <t>Главный</t>
  </si>
  <si>
    <t>ВСЕГО:</t>
  </si>
  <si>
    <t xml:space="preserve">премия </t>
  </si>
  <si>
    <t xml:space="preserve"> за особ.ус.</t>
  </si>
  <si>
    <t>вредность</t>
  </si>
  <si>
    <t>ежемесячное</t>
  </si>
  <si>
    <t>пощрение</t>
  </si>
  <si>
    <t>Район/ Коэф</t>
  </si>
  <si>
    <t>Северный Коэф</t>
  </si>
  <si>
    <t>за особ.ус.тр</t>
  </si>
  <si>
    <t>30</t>
  </si>
  <si>
    <t>выслуга</t>
  </si>
  <si>
    <t>лет</t>
  </si>
  <si>
    <t>213 ст.</t>
  </si>
  <si>
    <t>_________________________Бекенева Ч.Р.</t>
  </si>
  <si>
    <t>по охране труда</t>
  </si>
  <si>
    <t>единоврем.выпл.</t>
  </si>
  <si>
    <t>количество</t>
  </si>
  <si>
    <t>_____________________ Бекенева Ч.Р.</t>
  </si>
  <si>
    <t>истопник</t>
  </si>
  <si>
    <t>2 оклад</t>
  </si>
  <si>
    <t>Начальник Управления ЭиБП</t>
  </si>
  <si>
    <t>______________________Токоеков А.М.</t>
  </si>
  <si>
    <t>_________ ______ Токоеков А.М</t>
  </si>
  <si>
    <t>________________________ Токоеков А.М.</t>
  </si>
  <si>
    <t>_________________Токоеков А.М</t>
  </si>
  <si>
    <t>Начальник Управления по Эи БП</t>
  </si>
  <si>
    <t>Начальник  Управления ЭиБП</t>
  </si>
  <si>
    <t>Начальник Управления по ЭиБП</t>
  </si>
  <si>
    <t>Глава МО "Улаганское сельское поселение"</t>
  </si>
  <si>
    <t xml:space="preserve">Глава </t>
  </si>
  <si>
    <t>МО"Улаганское сельское поселение"</t>
  </si>
  <si>
    <t>Глава МО  "Улаганское сельское поселение"</t>
  </si>
  <si>
    <t>_________ ______ Токоеков А.М.</t>
  </si>
  <si>
    <t>МО "Улаганское сельское поселение"</t>
  </si>
  <si>
    <t xml:space="preserve"> </t>
  </si>
  <si>
    <t>Специалист по оплате труда _____________ Акимова А.Р</t>
  </si>
  <si>
    <t>Специалист по оплате труда        _________ Акимова А.Р.</t>
  </si>
  <si>
    <t>Специалист по оплате труда __________________Акимова А.Р.</t>
  </si>
  <si>
    <t>Специалист по оплате труда ___________________ Акимова А.Р</t>
  </si>
  <si>
    <t>Специалист по оплате труда _____________Акимова А.Р.</t>
  </si>
  <si>
    <t xml:space="preserve">                на  01 мая 2018г.</t>
  </si>
  <si>
    <t xml:space="preserve">специалист  </t>
  </si>
  <si>
    <t>Утверждена Постановлением Госкомстата России</t>
  </si>
  <si>
    <t xml:space="preserve">Унифицированная форма № Т-3
</t>
  </si>
  <si>
    <t>Код</t>
  </si>
  <si>
    <t>Форма по ОКУД</t>
  </si>
  <si>
    <t xml:space="preserve">ШТАТНОЕ РАСПИСАНИЕ </t>
  </si>
  <si>
    <t>Распоряжение №</t>
  </si>
  <si>
    <t xml:space="preserve">           по ОКПО</t>
  </si>
  <si>
    <t>ставка</t>
  </si>
  <si>
    <t>тарифная</t>
  </si>
  <si>
    <t>от 05.01.2004 №1</t>
  </si>
  <si>
    <t>О301017</t>
  </si>
  <si>
    <t xml:space="preserve">Распоряжение №    </t>
  </si>
  <si>
    <t xml:space="preserve">  Форма по ОКУД</t>
  </si>
  <si>
    <t xml:space="preserve">     </t>
  </si>
  <si>
    <t xml:space="preserve">                        </t>
  </si>
  <si>
    <t>Унифицированная форма № Т-3</t>
  </si>
  <si>
    <t xml:space="preserve">          Форма по ОКУД</t>
  </si>
  <si>
    <t xml:space="preserve">                    по ОКПО</t>
  </si>
  <si>
    <t xml:space="preserve">    Код</t>
  </si>
  <si>
    <t xml:space="preserve">             по ОКПО</t>
  </si>
  <si>
    <t>по ОКПО</t>
  </si>
  <si>
    <t xml:space="preserve">    </t>
  </si>
  <si>
    <t xml:space="preserve">                                                                                                                                                         </t>
  </si>
  <si>
    <t>единовр.выпл.2 окл.</t>
  </si>
  <si>
    <t>тракторист</t>
  </si>
  <si>
    <t xml:space="preserve">ШТАТНОЕ РАСПИСАНИЕ  № </t>
  </si>
  <si>
    <t>8</t>
  </si>
  <si>
    <t>№</t>
  </si>
  <si>
    <t xml:space="preserve">                   </t>
  </si>
  <si>
    <t xml:space="preserve">ШТАТНОЕ РАСПИСАНИЕ №          </t>
  </si>
  <si>
    <t xml:space="preserve">№       </t>
  </si>
  <si>
    <t>повышение за кл.чин</t>
  </si>
  <si>
    <t xml:space="preserve">                Акимова А.Р.</t>
  </si>
  <si>
    <t>Главный бухгалтер                                            Юлукова Е.И.</t>
  </si>
  <si>
    <t>за кл.чин</t>
  </si>
  <si>
    <t xml:space="preserve">повышение </t>
  </si>
  <si>
    <t>повыш.до МРОТ</t>
  </si>
  <si>
    <t>повыш.</t>
  </si>
  <si>
    <t>до МРОТ</t>
  </si>
  <si>
    <t>от вознагр.</t>
  </si>
  <si>
    <t xml:space="preserve">     Распоряжение №    </t>
  </si>
  <si>
    <t>штат в количестве 1 единиц</t>
  </si>
  <si>
    <r>
      <t>штат в количестве_</t>
    </r>
    <r>
      <rPr>
        <u val="single"/>
        <sz val="10"/>
        <rFont val="Arial Cyr"/>
        <family val="0"/>
      </rPr>
      <t>1</t>
    </r>
    <r>
      <rPr>
        <sz val="10"/>
        <rFont val="Arial Cyr"/>
        <family val="0"/>
      </rPr>
      <t xml:space="preserve"> единиц</t>
    </r>
  </si>
  <si>
    <r>
      <t xml:space="preserve">штат в количестве </t>
    </r>
    <r>
      <rPr>
        <u val="single"/>
        <sz val="10"/>
        <rFont val="Arial Cyr"/>
        <family val="0"/>
      </rPr>
      <t>2</t>
    </r>
    <r>
      <rPr>
        <sz val="10"/>
        <rFont val="Arial Cyr"/>
        <family val="0"/>
      </rPr>
      <t xml:space="preserve"> единиц</t>
    </r>
  </si>
  <si>
    <t>штат в количество 1 единиц</t>
  </si>
  <si>
    <r>
      <t xml:space="preserve"> штат в количестве </t>
    </r>
    <r>
      <rPr>
        <u val="single"/>
        <sz val="10"/>
        <rFont val="Arial Cyr"/>
        <family val="0"/>
      </rPr>
      <t xml:space="preserve"> 2 </t>
    </r>
    <r>
      <rPr>
        <sz val="10"/>
        <rFont val="Arial Cyr"/>
        <family val="0"/>
      </rPr>
      <t>единиц</t>
    </r>
  </si>
  <si>
    <t>специалист по земел.вопросам</t>
  </si>
  <si>
    <t xml:space="preserve"> Унифицированная форма № Т-3
</t>
  </si>
  <si>
    <t xml:space="preserve"> Утверждена Постановлением Госкомстата России</t>
  </si>
  <si>
    <t xml:space="preserve"> от 05.01.2004 №1</t>
  </si>
  <si>
    <t>штат в количестве  8  единиц</t>
  </si>
  <si>
    <t>Главный специалист</t>
  </si>
  <si>
    <t>Зам. главы</t>
  </si>
  <si>
    <t>8628,67</t>
  </si>
  <si>
    <t>методист по спорту</t>
  </si>
  <si>
    <t>на период  с 01 января 2022г.</t>
  </si>
  <si>
    <t xml:space="preserve">  на период  с 01 января 2022г.</t>
  </si>
  <si>
    <t>на период   с  01 января 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</si>
</sst>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_р_._-;\-* #,##0.0_р_._-;_-* &quot;-&quot;??_р_._-;_-@_-"/>
    <numFmt numFmtId="174" formatCode="0.0"/>
    <numFmt numFmtId="175" formatCode="0.0000"/>
    <numFmt numFmtId="176" formatCode="_-* #,##0_р_._-;\-* #,##0_р_._-;_-* &quot;-&quot;??_р_._-;_-@_-"/>
    <numFmt numFmtId="177" formatCode="0.0%"/>
    <numFmt numFmtId="178" formatCode="0.000%"/>
    <numFmt numFmtId="179" formatCode="0.0000%"/>
    <numFmt numFmtId="180" formatCode="0.00000%"/>
    <numFmt numFmtId="181" formatCode="000000"/>
    <numFmt numFmtId="182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vertAlign val="superscript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1" fontId="1" fillId="0" borderId="17" xfId="60" applyFont="1" applyBorder="1" applyAlignment="1">
      <alignment/>
    </xf>
    <xf numFmtId="0" fontId="1" fillId="0" borderId="17" xfId="0" applyFont="1" applyBorder="1" applyAlignment="1">
      <alignment/>
    </xf>
    <xf numFmtId="171" fontId="1" fillId="0" borderId="19" xfId="6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2" fontId="1" fillId="0" borderId="2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9" fontId="1" fillId="0" borderId="23" xfId="0" applyNumberFormat="1" applyFont="1" applyBorder="1" applyAlignment="1">
      <alignment/>
    </xf>
    <xf numFmtId="0" fontId="1" fillId="0" borderId="21" xfId="0" applyFont="1" applyBorder="1" applyAlignment="1">
      <alignment/>
    </xf>
    <xf numFmtId="9" fontId="1" fillId="0" borderId="19" xfId="0" applyNumberFormat="1" applyFont="1" applyBorder="1" applyAlignment="1">
      <alignment/>
    </xf>
    <xf numFmtId="9" fontId="1" fillId="0" borderId="17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1" fontId="1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9" fontId="1" fillId="0" borderId="24" xfId="0" applyNumberFormat="1" applyFont="1" applyBorder="1" applyAlignment="1">
      <alignment/>
    </xf>
    <xf numFmtId="2" fontId="1" fillId="0" borderId="23" xfId="0" applyNumberFormat="1" applyFont="1" applyBorder="1" applyAlignment="1">
      <alignment horizontal="left"/>
    </xf>
    <xf numFmtId="9" fontId="1" fillId="0" borderId="25" xfId="0" applyNumberFormat="1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/>
    </xf>
    <xf numFmtId="0" fontId="1" fillId="0" borderId="26" xfId="0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22" xfId="0" applyNumberFormat="1" applyFont="1" applyBorder="1" applyAlignment="1">
      <alignment horizontal="left"/>
    </xf>
    <xf numFmtId="9" fontId="1" fillId="0" borderId="21" xfId="0" applyNumberFormat="1" applyFont="1" applyBorder="1" applyAlignment="1">
      <alignment/>
    </xf>
    <xf numFmtId="9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9" fontId="1" fillId="0" borderId="17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1" fillId="0" borderId="18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/>
    </xf>
    <xf numFmtId="171" fontId="1" fillId="0" borderId="0" xfId="6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9" fontId="1" fillId="0" borderId="17" xfId="0" applyNumberFormat="1" applyFont="1" applyBorder="1" applyAlignment="1">
      <alignment horizontal="center" vertical="center" textRotation="90" wrapText="1"/>
    </xf>
    <xf numFmtId="9" fontId="1" fillId="0" borderId="21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9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9" fontId="1" fillId="0" borderId="17" xfId="0" applyNumberFormat="1" applyFont="1" applyBorder="1" applyAlignment="1">
      <alignment vertical="top" wrapText="1"/>
    </xf>
    <xf numFmtId="9" fontId="1" fillId="0" borderId="22" xfId="0" applyNumberFormat="1" applyFont="1" applyBorder="1" applyAlignment="1">
      <alignment vertical="top" wrapText="1"/>
    </xf>
    <xf numFmtId="9" fontId="1" fillId="0" borderId="17" xfId="0" applyNumberFormat="1" applyFont="1" applyBorder="1" applyAlignment="1">
      <alignment horizontal="center" vertical="top" wrapText="1"/>
    </xf>
    <xf numFmtId="9" fontId="1" fillId="0" borderId="24" xfId="0" applyNumberFormat="1" applyFont="1" applyBorder="1" applyAlignment="1">
      <alignment horizontal="center" vertical="top" wrapText="1"/>
    </xf>
    <xf numFmtId="9" fontId="1" fillId="0" borderId="18" xfId="0" applyNumberFormat="1" applyFont="1" applyFill="1" applyBorder="1" applyAlignment="1">
      <alignment horizontal="center" vertical="top" wrapText="1"/>
    </xf>
    <xf numFmtId="9" fontId="1" fillId="0" borderId="19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left" vertical="center" wrapText="1"/>
    </xf>
    <xf numFmtId="9" fontId="1" fillId="0" borderId="17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1" fontId="0" fillId="0" borderId="17" xfId="60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0" fillId="0" borderId="19" xfId="60" applyFont="1" applyBorder="1" applyAlignment="1">
      <alignment/>
    </xf>
    <xf numFmtId="171" fontId="0" fillId="0" borderId="18" xfId="6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9" fontId="2" fillId="0" borderId="3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vertical="top" wrapText="1"/>
    </xf>
    <xf numFmtId="2" fontId="0" fillId="0" borderId="22" xfId="0" applyNumberFormat="1" applyFont="1" applyBorder="1" applyAlignment="1">
      <alignment vertical="top" wrapText="1"/>
    </xf>
    <xf numFmtId="2" fontId="0" fillId="0" borderId="19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horizontal="center" vertical="top" wrapText="1"/>
    </xf>
    <xf numFmtId="2" fontId="0" fillId="0" borderId="19" xfId="0" applyNumberFormat="1" applyFont="1" applyFill="1" applyBorder="1" applyAlignment="1">
      <alignment vertical="top" wrapText="1"/>
    </xf>
    <xf numFmtId="2" fontId="0" fillId="0" borderId="19" xfId="0" applyNumberFormat="1" applyFont="1" applyBorder="1" applyAlignment="1">
      <alignment vertical="top" wrapText="1"/>
    </xf>
    <xf numFmtId="2" fontId="0" fillId="0" borderId="20" xfId="0" applyNumberFormat="1" applyFont="1" applyBorder="1" applyAlignment="1">
      <alignment vertical="top" wrapText="1"/>
    </xf>
    <xf numFmtId="2" fontId="9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vertical="center" wrapText="1"/>
    </xf>
    <xf numFmtId="2" fontId="9" fillId="0" borderId="36" xfId="0" applyNumberFormat="1" applyFont="1" applyBorder="1" applyAlignment="1">
      <alignment vertical="center" wrapText="1"/>
    </xf>
    <xf numFmtId="2" fontId="9" fillId="0" borderId="37" xfId="0" applyNumberFormat="1" applyFont="1" applyBorder="1" applyAlignment="1">
      <alignment vertical="center" wrapText="1"/>
    </xf>
    <xf numFmtId="2" fontId="9" fillId="0" borderId="38" xfId="0" applyNumberFormat="1" applyFont="1" applyBorder="1" applyAlignment="1">
      <alignment vertical="center" wrapText="1"/>
    </xf>
    <xf numFmtId="2" fontId="9" fillId="0" borderId="39" xfId="0" applyNumberFormat="1" applyFont="1" applyFill="1" applyBorder="1" applyAlignment="1">
      <alignment vertical="center" wrapText="1"/>
    </xf>
    <xf numFmtId="2" fontId="9" fillId="0" borderId="36" xfId="0" applyNumberFormat="1" applyFont="1" applyFill="1" applyBorder="1" applyAlignment="1">
      <alignment vertical="center" wrapText="1"/>
    </xf>
    <xf numFmtId="2" fontId="9" fillId="0" borderId="39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vertical="top" wrapText="1"/>
    </xf>
    <xf numFmtId="9" fontId="0" fillId="0" borderId="26" xfId="0" applyNumberFormat="1" applyFont="1" applyBorder="1" applyAlignment="1">
      <alignment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vertical="top" wrapText="1"/>
    </xf>
    <xf numFmtId="9" fontId="0" fillId="0" borderId="14" xfId="0" applyNumberFormat="1" applyFont="1" applyBorder="1" applyAlignment="1">
      <alignment vertical="top" wrapText="1"/>
    </xf>
    <xf numFmtId="9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top" wrapText="1"/>
    </xf>
    <xf numFmtId="2" fontId="0" fillId="0" borderId="40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171" fontId="1" fillId="0" borderId="19" xfId="60" applyNumberFormat="1" applyFont="1" applyBorder="1" applyAlignment="1">
      <alignment/>
    </xf>
    <xf numFmtId="176" fontId="1" fillId="0" borderId="19" xfId="60" applyNumberFormat="1" applyFont="1" applyBorder="1" applyAlignment="1">
      <alignment horizontal="left"/>
    </xf>
    <xf numFmtId="9" fontId="1" fillId="0" borderId="26" xfId="0" applyNumberFormat="1" applyFont="1" applyBorder="1" applyAlignment="1">
      <alignment horizontal="left" textRotation="91"/>
    </xf>
    <xf numFmtId="0" fontId="1" fillId="0" borderId="10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71" fontId="1" fillId="0" borderId="17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171" fontId="1" fillId="0" borderId="17" xfId="6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 textRotation="90"/>
    </xf>
    <xf numFmtId="0" fontId="1" fillId="0" borderId="27" xfId="0" applyFont="1" applyBorder="1" applyAlignment="1">
      <alignment textRotation="90"/>
    </xf>
    <xf numFmtId="0" fontId="1" fillId="0" borderId="20" xfId="0" applyFont="1" applyBorder="1" applyAlignment="1">
      <alignment textRotation="90"/>
    </xf>
    <xf numFmtId="0" fontId="1" fillId="0" borderId="22" xfId="0" applyFont="1" applyBorder="1" applyAlignment="1">
      <alignment textRotation="90"/>
    </xf>
    <xf numFmtId="9" fontId="1" fillId="0" borderId="23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4" fontId="1" fillId="0" borderId="17" xfId="0" applyNumberFormat="1" applyFont="1" applyBorder="1" applyAlignment="1">
      <alignment/>
    </xf>
    <xf numFmtId="173" fontId="1" fillId="0" borderId="19" xfId="6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9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center" textRotation="90"/>
    </xf>
    <xf numFmtId="2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9" fontId="1" fillId="0" borderId="19" xfId="0" applyNumberFormat="1" applyFont="1" applyBorder="1" applyAlignment="1">
      <alignment textRotation="90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171" fontId="1" fillId="0" borderId="19" xfId="60" applyFont="1" applyBorder="1" applyAlignment="1">
      <alignment horizontal="left"/>
    </xf>
    <xf numFmtId="9" fontId="2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left"/>
    </xf>
    <xf numFmtId="173" fontId="1" fillId="0" borderId="19" xfId="60" applyNumberFormat="1" applyFont="1" applyBorder="1" applyAlignment="1">
      <alignment/>
    </xf>
    <xf numFmtId="173" fontId="1" fillId="0" borderId="19" xfId="60" applyNumberFormat="1" applyFont="1" applyBorder="1" applyAlignment="1">
      <alignment horizontal="left"/>
    </xf>
    <xf numFmtId="176" fontId="1" fillId="0" borderId="17" xfId="60" applyNumberFormat="1" applyFont="1" applyBorder="1" applyAlignment="1">
      <alignment horizontal="right"/>
    </xf>
    <xf numFmtId="0" fontId="0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textRotation="89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9" fontId="3" fillId="0" borderId="17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 textRotation="90"/>
    </xf>
    <xf numFmtId="0" fontId="3" fillId="0" borderId="17" xfId="0" applyFont="1" applyBorder="1" applyAlignment="1">
      <alignment textRotation="91"/>
    </xf>
    <xf numFmtId="0" fontId="9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9" fontId="3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textRotation="89"/>
    </xf>
    <xf numFmtId="0" fontId="1" fillId="0" borderId="27" xfId="0" applyFont="1" applyBorder="1" applyAlignment="1">
      <alignment horizontal="center" textRotation="89"/>
    </xf>
    <xf numFmtId="0" fontId="1" fillId="0" borderId="23" xfId="0" applyFont="1" applyBorder="1" applyAlignment="1">
      <alignment horizontal="center" textRotation="89"/>
    </xf>
    <xf numFmtId="0" fontId="1" fillId="0" borderId="22" xfId="0" applyFont="1" applyBorder="1" applyAlignment="1">
      <alignment horizontal="center" textRotation="89"/>
    </xf>
    <xf numFmtId="0" fontId="6" fillId="0" borderId="10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0" xfId="0" applyFont="1" applyBorder="1" applyAlignment="1">
      <alignment horizontal="left" textRotation="90"/>
    </xf>
    <xf numFmtId="0" fontId="1" fillId="0" borderId="19" xfId="0" applyFont="1" applyBorder="1" applyAlignment="1">
      <alignment horizontal="left" textRotation="90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horizontal="center" textRotation="87"/>
    </xf>
    <xf numFmtId="0" fontId="2" fillId="0" borderId="14" xfId="0" applyFont="1" applyBorder="1" applyAlignment="1">
      <alignment horizontal="center" textRotation="87"/>
    </xf>
    <xf numFmtId="0" fontId="1" fillId="0" borderId="27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4" xfId="0" applyFont="1" applyBorder="1" applyAlignment="1">
      <alignment horizontal="left" vertical="center" textRotation="90" wrapText="1"/>
    </xf>
    <xf numFmtId="0" fontId="1" fillId="0" borderId="19" xfId="0" applyFont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zoomScalePageLayoutView="0" workbookViewId="0" topLeftCell="A4">
      <selection activeCell="S33" sqref="S33"/>
    </sheetView>
  </sheetViews>
  <sheetFormatPr defaultColWidth="9.00390625" defaultRowHeight="12.75"/>
  <cols>
    <col min="1" max="1" width="12.375" style="0" customWidth="1"/>
    <col min="2" max="2" width="3.125" style="0" customWidth="1"/>
    <col min="3" max="3" width="5.625" style="0" customWidth="1"/>
    <col min="4" max="4" width="3.25390625" style="0" customWidth="1"/>
    <col min="5" max="5" width="9.25390625" style="0" customWidth="1"/>
    <col min="6" max="6" width="5.125" style="0" customWidth="1"/>
    <col min="7" max="7" width="8.25390625" style="0" customWidth="1"/>
    <col min="8" max="8" width="9.375" style="0" customWidth="1"/>
    <col min="9" max="9" width="7.25390625" style="0" customWidth="1"/>
    <col min="10" max="10" width="5.75390625" style="0" customWidth="1"/>
    <col min="11" max="11" width="7.875" style="0" customWidth="1"/>
    <col min="12" max="12" width="8.625" style="0" customWidth="1"/>
    <col min="13" max="13" width="10.625" style="0" customWidth="1"/>
    <col min="14" max="14" width="7.625" style="0" customWidth="1"/>
    <col min="15" max="15" width="7.875" style="0" customWidth="1"/>
    <col min="16" max="16" width="7.375" style="0" customWidth="1"/>
    <col min="17" max="17" width="6.00390625" style="0" customWidth="1"/>
    <col min="18" max="18" width="5.375" style="0" customWidth="1"/>
    <col min="19" max="19" width="9.25390625" style="0" customWidth="1"/>
  </cols>
  <sheetData>
    <row r="1" spans="13:50" ht="15.75">
      <c r="M1" s="275" t="s">
        <v>145</v>
      </c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</row>
    <row r="2" spans="5:13" ht="18">
      <c r="E2" s="223"/>
      <c r="F2" s="223"/>
      <c r="G2" s="223"/>
      <c r="H2" s="223"/>
      <c r="I2" s="223"/>
      <c r="M2" t="s">
        <v>144</v>
      </c>
    </row>
    <row r="3" spans="5:16" ht="18">
      <c r="E3" s="223" t="s">
        <v>135</v>
      </c>
      <c r="F3" s="223"/>
      <c r="G3" s="223"/>
      <c r="H3" s="223"/>
      <c r="I3" s="223"/>
      <c r="M3" t="s">
        <v>153</v>
      </c>
      <c r="P3" s="21"/>
    </row>
    <row r="4" spans="14:16" ht="12.75">
      <c r="N4" t="s">
        <v>156</v>
      </c>
      <c r="P4" s="21" t="s">
        <v>154</v>
      </c>
    </row>
    <row r="5" spans="15:16" ht="12.75">
      <c r="O5" t="s">
        <v>164</v>
      </c>
      <c r="P5" s="21"/>
    </row>
    <row r="6" spans="5:15" ht="12.75">
      <c r="E6" s="94" t="s">
        <v>148</v>
      </c>
      <c r="F6" s="94"/>
      <c r="G6" s="94"/>
      <c r="H6" s="94" t="s">
        <v>174</v>
      </c>
      <c r="I6" s="94"/>
      <c r="J6" s="94"/>
      <c r="K6" s="94"/>
      <c r="L6" s="93"/>
      <c r="M6" s="93"/>
      <c r="N6" s="93"/>
      <c r="O6" s="93"/>
    </row>
    <row r="7" spans="5:9" ht="12.75">
      <c r="E7" t="s">
        <v>199</v>
      </c>
      <c r="F7" s="228"/>
      <c r="G7" s="228"/>
      <c r="H7" s="228"/>
      <c r="I7" s="228"/>
    </row>
    <row r="8" spans="1:19" ht="12.75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 t="s">
        <v>46</v>
      </c>
      <c r="N8" s="92"/>
      <c r="O8" s="92"/>
      <c r="P8" s="92"/>
      <c r="Q8" s="92"/>
      <c r="R8" s="1"/>
      <c r="S8" s="1"/>
    </row>
    <row r="9" spans="1:19" ht="12.75">
      <c r="A9" s="92" t="s">
        <v>128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 t="s">
        <v>130</v>
      </c>
      <c r="N9" s="92"/>
      <c r="O9" s="92"/>
      <c r="P9" s="92"/>
      <c r="Q9" s="92"/>
      <c r="R9" s="1"/>
      <c r="S9" s="1"/>
    </row>
    <row r="10" spans="1:19" ht="12.75">
      <c r="A10" s="92" t="s">
        <v>45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 t="s">
        <v>53</v>
      </c>
      <c r="N10" s="92"/>
      <c r="O10" s="92"/>
      <c r="P10" s="92"/>
      <c r="Q10" s="92"/>
      <c r="R10" s="1"/>
      <c r="S10" s="1"/>
    </row>
    <row r="11" spans="1:19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"/>
      <c r="S11" s="1"/>
    </row>
    <row r="12" spans="1:19" ht="12.75">
      <c r="A12" s="92" t="s">
        <v>119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 t="s">
        <v>123</v>
      </c>
      <c r="N12" s="92"/>
      <c r="O12" s="92"/>
      <c r="P12" s="92"/>
      <c r="Q12" s="92"/>
      <c r="R12" s="1"/>
      <c r="S12" s="1"/>
    </row>
    <row r="13" spans="1:19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1"/>
      <c r="S13" s="1"/>
    </row>
    <row r="14" spans="1:19" ht="12.75">
      <c r="A14" s="92"/>
      <c r="B14" s="92"/>
      <c r="C14" s="92" t="s">
        <v>157</v>
      </c>
      <c r="D14" s="92"/>
      <c r="E14" s="92"/>
      <c r="F14" s="92"/>
      <c r="G14" s="92"/>
      <c r="H14" s="92"/>
      <c r="I14" s="92"/>
      <c r="J14" s="92"/>
      <c r="K14" s="92"/>
      <c r="L14" s="92"/>
      <c r="M14" s="228" t="s">
        <v>155</v>
      </c>
      <c r="N14" s="228"/>
      <c r="O14" s="228"/>
      <c r="P14" s="228"/>
      <c r="Q14" s="92"/>
      <c r="R14" s="1"/>
      <c r="S14" s="1"/>
    </row>
    <row r="15" spans="1:19" ht="12.75">
      <c r="A15" s="92"/>
      <c r="B15" s="92"/>
      <c r="C15" s="92"/>
      <c r="D15" s="92"/>
      <c r="E15" s="92" t="s">
        <v>158</v>
      </c>
      <c r="F15" s="92"/>
      <c r="G15" s="92"/>
      <c r="H15" s="92"/>
      <c r="I15" s="92"/>
      <c r="J15" s="92"/>
      <c r="K15" s="92"/>
      <c r="L15" s="92"/>
      <c r="M15" t="s">
        <v>187</v>
      </c>
      <c r="N15" s="228"/>
      <c r="O15" s="228"/>
      <c r="P15" s="228"/>
      <c r="Q15" s="92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2" ht="2.25" customHeight="1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2.75" hidden="1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9" ht="33" customHeight="1">
      <c r="A19" s="266" t="s">
        <v>1</v>
      </c>
      <c r="B19" s="269" t="s">
        <v>118</v>
      </c>
      <c r="C19" s="271" t="s">
        <v>3</v>
      </c>
      <c r="D19" s="203"/>
      <c r="E19" s="204" t="s">
        <v>32</v>
      </c>
      <c r="F19" s="262" t="s">
        <v>47</v>
      </c>
      <c r="G19" s="263"/>
      <c r="H19" s="219" t="s">
        <v>52</v>
      </c>
      <c r="I19" s="191" t="s">
        <v>178</v>
      </c>
      <c r="J19" s="278" t="s">
        <v>116</v>
      </c>
      <c r="K19" s="273" t="s">
        <v>105</v>
      </c>
      <c r="L19" s="191" t="s">
        <v>107</v>
      </c>
      <c r="M19" s="269" t="s">
        <v>4</v>
      </c>
      <c r="N19" s="269" t="s">
        <v>109</v>
      </c>
      <c r="O19" s="269" t="s">
        <v>108</v>
      </c>
      <c r="P19" s="276" t="s">
        <v>5</v>
      </c>
      <c r="Q19" s="284" t="s">
        <v>117</v>
      </c>
      <c r="R19" s="280" t="s">
        <v>10</v>
      </c>
      <c r="S19" s="282" t="s">
        <v>43</v>
      </c>
    </row>
    <row r="20" spans="1:19" ht="49.5" customHeight="1">
      <c r="A20" s="267"/>
      <c r="B20" s="270"/>
      <c r="C20" s="272"/>
      <c r="D20" s="205"/>
      <c r="E20" s="206" t="s">
        <v>104</v>
      </c>
      <c r="F20" s="264"/>
      <c r="G20" s="265"/>
      <c r="H20" s="220" t="s">
        <v>103</v>
      </c>
      <c r="I20" s="192" t="s">
        <v>179</v>
      </c>
      <c r="J20" s="279"/>
      <c r="K20" s="274"/>
      <c r="L20" s="192" t="s">
        <v>106</v>
      </c>
      <c r="M20" s="270"/>
      <c r="N20" s="270"/>
      <c r="O20" s="270"/>
      <c r="P20" s="277"/>
      <c r="Q20" s="285"/>
      <c r="R20" s="281"/>
      <c r="S20" s="283"/>
    </row>
    <row r="21" spans="1:19" ht="24.75" customHeight="1">
      <c r="A21" s="268"/>
      <c r="B21" s="8" t="s">
        <v>6</v>
      </c>
      <c r="C21" s="225" t="s">
        <v>7</v>
      </c>
      <c r="D21" s="30" t="s">
        <v>8</v>
      </c>
      <c r="E21" s="190"/>
      <c r="F21" s="42" t="s">
        <v>8</v>
      </c>
      <c r="G21" s="64" t="s">
        <v>3</v>
      </c>
      <c r="H21" s="201">
        <v>0.25</v>
      </c>
      <c r="I21" s="187"/>
      <c r="J21" s="42">
        <v>0.3</v>
      </c>
      <c r="K21" s="42">
        <v>0.04</v>
      </c>
      <c r="L21" s="187">
        <v>1.5</v>
      </c>
      <c r="M21" s="59"/>
      <c r="N21" s="238">
        <v>0.5</v>
      </c>
      <c r="O21" s="238">
        <v>0.7</v>
      </c>
      <c r="P21" s="12"/>
      <c r="Q21" s="214" t="s">
        <v>82</v>
      </c>
      <c r="R21" s="214" t="s">
        <v>42</v>
      </c>
      <c r="S21" s="202" t="s">
        <v>18</v>
      </c>
    </row>
    <row r="22" spans="1:19" ht="12.75">
      <c r="A22" s="12" t="s">
        <v>196</v>
      </c>
      <c r="B22" s="213">
        <v>1</v>
      </c>
      <c r="C22" s="185">
        <v>3667</v>
      </c>
      <c r="D22" s="13">
        <v>120</v>
      </c>
      <c r="E22" s="14">
        <f>C22*120%</f>
        <v>4400.4</v>
      </c>
      <c r="F22" s="189">
        <v>10</v>
      </c>
      <c r="G22" s="16">
        <f>C22*10%</f>
        <v>366.70000000000005</v>
      </c>
      <c r="H22" s="16">
        <f>C22*25%</f>
        <v>916.75</v>
      </c>
      <c r="I22" s="189">
        <v>2430</v>
      </c>
      <c r="J22" s="16"/>
      <c r="K22" s="199">
        <v>136.52</v>
      </c>
      <c r="L22" s="240">
        <f>C22*140%</f>
        <v>5133.799999999999</v>
      </c>
      <c r="M22" s="188">
        <f>C22+E22+G22+H22+I22+L22</f>
        <v>16914.65</v>
      </c>
      <c r="N22" s="17">
        <f>M22*50%</f>
        <v>8457.325</v>
      </c>
      <c r="O22" s="38">
        <f>M22*70%</f>
        <v>11840.255000000001</v>
      </c>
      <c r="P22" s="18">
        <f>M22+N22+O22</f>
        <v>37212.23</v>
      </c>
      <c r="Q22" s="195">
        <v>16135</v>
      </c>
      <c r="R22" s="44">
        <v>16135</v>
      </c>
      <c r="S22" s="65">
        <f>P22*12+Q22+R22</f>
        <v>478816.76</v>
      </c>
    </row>
    <row r="23" spans="1:19" ht="12.75">
      <c r="A23" s="12" t="s">
        <v>195</v>
      </c>
      <c r="B23" s="214">
        <v>1</v>
      </c>
      <c r="C23" s="185">
        <v>2740</v>
      </c>
      <c r="D23" s="13">
        <v>150</v>
      </c>
      <c r="E23" s="14">
        <f>C23*150%</f>
        <v>4110</v>
      </c>
      <c r="F23" s="189">
        <v>30</v>
      </c>
      <c r="G23" s="16">
        <f>C23*30%</f>
        <v>822</v>
      </c>
      <c r="H23" s="16">
        <f>C23*25%</f>
        <v>685</v>
      </c>
      <c r="I23" s="189">
        <v>1143</v>
      </c>
      <c r="J23" s="189">
        <f>C23*30%</f>
        <v>822</v>
      </c>
      <c r="K23" s="242">
        <v>89</v>
      </c>
      <c r="L23" s="241">
        <f>C23*150%</f>
        <v>4110</v>
      </c>
      <c r="M23" s="16">
        <f>C23+E23+G23+H23+I23+J23+K23+L23</f>
        <v>14521</v>
      </c>
      <c r="N23" s="19">
        <f>M23*50%</f>
        <v>7260.5</v>
      </c>
      <c r="O23" s="34">
        <f>M23*70%</f>
        <v>10164.699999999999</v>
      </c>
      <c r="P23" s="20">
        <f>M23+N23+O23</f>
        <v>31946.199999999997</v>
      </c>
      <c r="Q23" s="195">
        <v>12056</v>
      </c>
      <c r="R23" s="195">
        <v>12056</v>
      </c>
      <c r="S23" s="65">
        <f>P23*12+Q23+R23</f>
        <v>407466.39999999997</v>
      </c>
    </row>
    <row r="24" spans="1:19" ht="12.75">
      <c r="A24" s="12"/>
      <c r="B24" s="214"/>
      <c r="C24" s="186"/>
      <c r="D24" s="15"/>
      <c r="E24" s="14"/>
      <c r="F24" s="189"/>
      <c r="G24" s="16"/>
      <c r="H24" s="16"/>
      <c r="I24" s="16"/>
      <c r="J24" s="237"/>
      <c r="K24" s="200"/>
      <c r="L24" s="241"/>
      <c r="M24" s="16"/>
      <c r="N24" s="19"/>
      <c r="O24" s="38"/>
      <c r="P24" s="18"/>
      <c r="Q24" s="34"/>
      <c r="R24" s="239"/>
      <c r="S24" s="65"/>
    </row>
    <row r="25" spans="1:19" ht="12.75">
      <c r="A25" s="21" t="s">
        <v>4</v>
      </c>
      <c r="B25" s="215">
        <f>B22+B23+B24</f>
        <v>2</v>
      </c>
      <c r="C25" s="186">
        <f>C22+C23+C24</f>
        <v>6407</v>
      </c>
      <c r="D25" s="20"/>
      <c r="E25" s="14">
        <f>E22+E23+E24</f>
        <v>8510.4</v>
      </c>
      <c r="F25" s="16"/>
      <c r="G25" s="212">
        <f>G22+G23+G24</f>
        <v>1188.7</v>
      </c>
      <c r="H25" s="16">
        <f>H22+H23+H24</f>
        <v>1601.75</v>
      </c>
      <c r="I25" s="16"/>
      <c r="J25" s="189">
        <v>323</v>
      </c>
      <c r="K25" s="14">
        <f>SUM(K22:K24)</f>
        <v>225.52</v>
      </c>
      <c r="L25" s="241">
        <f aca="true" t="shared" si="0" ref="L25:S25">L22+L23+L24</f>
        <v>9243.8</v>
      </c>
      <c r="M25" s="16">
        <f t="shared" si="0"/>
        <v>31435.65</v>
      </c>
      <c r="N25" s="20">
        <f t="shared" si="0"/>
        <v>15717.825</v>
      </c>
      <c r="O25" s="34">
        <f t="shared" si="0"/>
        <v>22004.955</v>
      </c>
      <c r="P25" s="20">
        <f t="shared" si="0"/>
        <v>69158.43</v>
      </c>
      <c r="Q25" s="195">
        <f>Q22+Q23+Q24</f>
        <v>28191</v>
      </c>
      <c r="R25" s="195">
        <f>R22+R23</f>
        <v>28191</v>
      </c>
      <c r="S25" s="27">
        <f t="shared" si="0"/>
        <v>886283.1599999999</v>
      </c>
    </row>
    <row r="26" spans="1:19" ht="12.75">
      <c r="A26" s="21" t="s">
        <v>86</v>
      </c>
      <c r="B26" s="198"/>
      <c r="C26" s="20"/>
      <c r="D26" s="20"/>
      <c r="E26" s="14"/>
      <c r="F26" s="14"/>
      <c r="G26" s="14"/>
      <c r="H26" s="14"/>
      <c r="I26" s="14"/>
      <c r="J26" s="14"/>
      <c r="K26" s="14"/>
      <c r="L26" s="199"/>
      <c r="M26" s="14"/>
      <c r="N26" s="20"/>
      <c r="O26" s="20"/>
      <c r="P26" s="20"/>
      <c r="Q26" s="34"/>
      <c r="R26" s="20"/>
      <c r="S26" s="20">
        <f>S25*30.2%</f>
        <v>267657.51431999996</v>
      </c>
    </row>
    <row r="27" spans="1:19" ht="12.75">
      <c r="A27" s="21" t="s">
        <v>102</v>
      </c>
      <c r="B27" s="198"/>
      <c r="C27" s="20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20"/>
      <c r="O27" s="20"/>
      <c r="P27" s="20"/>
      <c r="Q27" s="34"/>
      <c r="R27" s="20"/>
      <c r="S27" s="20">
        <f>S25+S26</f>
        <v>1153940.6743199998</v>
      </c>
    </row>
    <row r="28" spans="1:19" ht="12.75">
      <c r="A28" s="101"/>
      <c r="B28" s="25"/>
      <c r="C28" s="67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7"/>
      <c r="P28" s="67"/>
      <c r="Q28" s="67"/>
      <c r="R28" s="67"/>
      <c r="S28" s="67"/>
    </row>
    <row r="29" spans="1:19" ht="12.75">
      <c r="A29" s="24"/>
      <c r="B29" s="25"/>
      <c r="C29" s="67"/>
      <c r="D29" s="67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7"/>
      <c r="P29" s="67"/>
      <c r="Q29" s="67"/>
      <c r="R29" s="67"/>
      <c r="S29" s="67"/>
    </row>
    <row r="30" spans="1:19" ht="12.75">
      <c r="A30" s="24"/>
      <c r="B30" s="25"/>
      <c r="C30" s="67"/>
      <c r="D30" s="67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7"/>
      <c r="P30" s="67"/>
      <c r="Q30" s="67"/>
      <c r="R30" s="67"/>
      <c r="S30" s="67"/>
    </row>
    <row r="31" spans="3:4" ht="12.75">
      <c r="C31" s="22"/>
      <c r="D31" s="22"/>
    </row>
    <row r="33" spans="1:10" ht="12.75">
      <c r="A33" s="91" t="s">
        <v>44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2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L34" s="66"/>
    </row>
    <row r="35" spans="1:18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R35" s="67"/>
    </row>
    <row r="36" spans="1:10" ht="12.75">
      <c r="A36" s="91" t="s">
        <v>140</v>
      </c>
      <c r="B36" s="91"/>
      <c r="C36" s="91"/>
      <c r="D36" s="91"/>
      <c r="E36" s="91"/>
      <c r="F36" s="91"/>
      <c r="G36" s="91"/>
      <c r="H36" s="91"/>
      <c r="I36" s="91"/>
      <c r="J36" s="91"/>
    </row>
  </sheetData>
  <sheetProtection/>
  <mergeCells count="14">
    <mergeCell ref="M1:AX1"/>
    <mergeCell ref="O19:O20"/>
    <mergeCell ref="P19:P20"/>
    <mergeCell ref="J19:J20"/>
    <mergeCell ref="R19:R20"/>
    <mergeCell ref="S19:S20"/>
    <mergeCell ref="Q19:Q20"/>
    <mergeCell ref="N19:N20"/>
    <mergeCell ref="F19:G20"/>
    <mergeCell ref="A19:A21"/>
    <mergeCell ref="B19:B20"/>
    <mergeCell ref="C19:C20"/>
    <mergeCell ref="K19:K20"/>
    <mergeCell ref="M19:M20"/>
  </mergeCells>
  <printOptions/>
  <pageMargins left="0.7" right="0.7" top="0.75" bottom="0.75" header="0.3" footer="0.3"/>
  <pageSetup fitToWidth="0" fitToHeight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2" max="2" width="5.625" style="0" customWidth="1"/>
    <col min="3" max="3" width="12.875" style="0" customWidth="1"/>
    <col min="4" max="4" width="12.25390625" style="0" customWidth="1"/>
    <col min="5" max="5" width="10.875" style="0" customWidth="1"/>
    <col min="6" max="6" width="10.75390625" style="0" customWidth="1"/>
    <col min="7" max="7" width="11.625" style="0" customWidth="1"/>
    <col min="8" max="8" width="10.875" style="0" customWidth="1"/>
    <col min="9" max="9" width="12.375" style="0" customWidth="1"/>
    <col min="10" max="10" width="12.875" style="0" customWidth="1"/>
    <col min="12" max="12" width="10.25390625" style="0" customWidth="1"/>
  </cols>
  <sheetData>
    <row r="1" ht="12.75">
      <c r="I1" t="s">
        <v>159</v>
      </c>
    </row>
    <row r="2" ht="12.75">
      <c r="I2" t="s">
        <v>144</v>
      </c>
    </row>
    <row r="3" spans="9:12" ht="12.75">
      <c r="I3" t="s">
        <v>153</v>
      </c>
      <c r="L3" s="21" t="s">
        <v>162</v>
      </c>
    </row>
    <row r="4" spans="3:12" ht="12.75">
      <c r="C4" t="s">
        <v>135</v>
      </c>
      <c r="J4" t="s">
        <v>160</v>
      </c>
      <c r="L4" s="21" t="s">
        <v>154</v>
      </c>
    </row>
    <row r="5" spans="4:12" ht="12.75">
      <c r="D5" t="s">
        <v>173</v>
      </c>
      <c r="J5" t="s">
        <v>161</v>
      </c>
      <c r="L5" s="21"/>
    </row>
    <row r="6" spans="4:12" ht="12.75">
      <c r="D6" t="s">
        <v>200</v>
      </c>
      <c r="L6" s="24"/>
    </row>
    <row r="7" ht="12.75">
      <c r="L7" s="24"/>
    </row>
    <row r="8" spans="1:12" ht="12.75">
      <c r="A8" s="91" t="s">
        <v>0</v>
      </c>
      <c r="B8" s="91"/>
      <c r="C8" s="91"/>
      <c r="D8" s="91"/>
      <c r="E8" s="91"/>
      <c r="F8" s="91"/>
      <c r="G8" s="91"/>
      <c r="H8" s="91"/>
      <c r="I8" s="92" t="s">
        <v>46</v>
      </c>
      <c r="J8" s="92"/>
      <c r="K8" s="92"/>
      <c r="L8" s="92"/>
    </row>
    <row r="9" spans="1:12" ht="12.75">
      <c r="A9" s="91" t="s">
        <v>129</v>
      </c>
      <c r="B9" s="91"/>
      <c r="C9" s="91"/>
      <c r="D9" s="91"/>
      <c r="E9" s="91"/>
      <c r="F9" s="91"/>
      <c r="G9" s="91"/>
      <c r="H9" s="91"/>
      <c r="I9" s="92" t="s">
        <v>130</v>
      </c>
      <c r="J9" s="92"/>
      <c r="K9" s="92"/>
      <c r="L9" s="92"/>
    </row>
    <row r="10" spans="1:12" ht="12.75">
      <c r="A10" s="91" t="s">
        <v>41</v>
      </c>
      <c r="B10" s="91"/>
      <c r="C10" s="91"/>
      <c r="D10" s="91"/>
      <c r="E10" s="91"/>
      <c r="F10" s="91"/>
      <c r="G10" s="91"/>
      <c r="H10" s="91"/>
      <c r="I10" s="92" t="s">
        <v>53</v>
      </c>
      <c r="J10" s="92"/>
      <c r="K10" s="92"/>
      <c r="L10" s="92"/>
    </row>
    <row r="11" spans="1:12" ht="12.75">
      <c r="A11" s="91"/>
      <c r="B11" s="91"/>
      <c r="C11" s="91"/>
      <c r="D11" s="91"/>
      <c r="E11" s="91"/>
      <c r="F11" s="91"/>
      <c r="G11" s="91"/>
      <c r="H11" s="91"/>
      <c r="I11" s="92"/>
      <c r="J11" s="92"/>
      <c r="K11" s="92"/>
      <c r="L11" s="92"/>
    </row>
    <row r="12" spans="1:12" ht="12.75">
      <c r="A12" s="91" t="s">
        <v>92</v>
      </c>
      <c r="B12" s="91"/>
      <c r="C12" s="91"/>
      <c r="D12" s="91"/>
      <c r="E12" s="91"/>
      <c r="F12" s="91"/>
      <c r="G12" s="91"/>
      <c r="H12" s="91"/>
      <c r="I12" s="92" t="s">
        <v>125</v>
      </c>
      <c r="J12" s="92"/>
      <c r="K12" s="92"/>
      <c r="L12" s="92"/>
    </row>
    <row r="13" spans="1:12" ht="12.75">
      <c r="A13" s="91"/>
      <c r="B13" s="91"/>
      <c r="C13" s="91"/>
      <c r="D13" s="91"/>
      <c r="E13" s="91"/>
      <c r="F13" s="91"/>
      <c r="G13" s="91"/>
      <c r="H13" s="91"/>
      <c r="I13" s="91"/>
      <c r="J13" s="95"/>
      <c r="K13" s="95"/>
      <c r="L13" s="95"/>
    </row>
    <row r="14" spans="1:12" ht="12.75">
      <c r="A14" s="91"/>
      <c r="B14" s="91"/>
      <c r="C14" s="91"/>
      <c r="D14" s="91"/>
      <c r="E14" s="91"/>
      <c r="F14" s="91"/>
      <c r="G14" s="91"/>
      <c r="H14" s="91"/>
      <c r="I14" s="228" t="s">
        <v>155</v>
      </c>
      <c r="J14" s="228"/>
      <c r="K14" s="228"/>
      <c r="L14" s="228"/>
    </row>
    <row r="15" spans="1:12" ht="12.75">
      <c r="A15" s="91"/>
      <c r="B15" s="91"/>
      <c r="C15" s="91"/>
      <c r="D15" s="91"/>
      <c r="E15" s="91"/>
      <c r="F15" s="91"/>
      <c r="G15" s="91"/>
      <c r="H15" s="91"/>
      <c r="I15" t="s">
        <v>186</v>
      </c>
      <c r="J15" s="228"/>
      <c r="K15" s="228"/>
      <c r="L15" s="228"/>
    </row>
    <row r="16" spans="1:12" ht="13.5" thickBot="1">
      <c r="A16" s="91"/>
      <c r="B16" s="91"/>
      <c r="C16" s="94"/>
      <c r="D16" s="94"/>
      <c r="E16" s="94"/>
      <c r="F16" s="94"/>
      <c r="G16" s="94"/>
      <c r="H16" s="93"/>
      <c r="I16" s="91"/>
      <c r="J16" s="91"/>
      <c r="K16" s="91"/>
      <c r="L16" s="91"/>
    </row>
    <row r="17" spans="1:10" ht="12.75">
      <c r="A17" s="3" t="s">
        <v>1</v>
      </c>
      <c r="B17" s="3" t="s">
        <v>2</v>
      </c>
      <c r="C17" s="104" t="s">
        <v>3</v>
      </c>
      <c r="D17" s="104" t="s">
        <v>16</v>
      </c>
      <c r="E17" s="104" t="s">
        <v>93</v>
      </c>
      <c r="F17" s="126" t="s">
        <v>94</v>
      </c>
      <c r="G17" s="127" t="s">
        <v>5</v>
      </c>
      <c r="H17" s="7" t="s">
        <v>96</v>
      </c>
      <c r="I17" s="127" t="s">
        <v>97</v>
      </c>
      <c r="J17" s="129" t="s">
        <v>13</v>
      </c>
    </row>
    <row r="18" spans="1:10" ht="13.5" thickBot="1">
      <c r="A18" s="8"/>
      <c r="B18" s="8" t="s">
        <v>6</v>
      </c>
      <c r="C18" s="122" t="s">
        <v>7</v>
      </c>
      <c r="D18" s="125"/>
      <c r="E18" s="105">
        <v>0.7</v>
      </c>
      <c r="F18" s="106">
        <v>0.5</v>
      </c>
      <c r="G18" s="11"/>
      <c r="H18" s="117"/>
      <c r="I18" s="128"/>
      <c r="J18" s="130" t="s">
        <v>18</v>
      </c>
    </row>
    <row r="19" spans="1:10" ht="12.75">
      <c r="A19" s="107" t="s">
        <v>14</v>
      </c>
      <c r="B19" s="120">
        <v>1</v>
      </c>
      <c r="C19" s="118">
        <v>12792</v>
      </c>
      <c r="D19" s="108">
        <v>12792</v>
      </c>
      <c r="E19" s="108">
        <f>D19*70%</f>
        <v>8954.4</v>
      </c>
      <c r="F19" s="109">
        <f>D19*50%</f>
        <v>6396</v>
      </c>
      <c r="G19" s="110">
        <f>D19+E19+F19</f>
        <v>28142.4</v>
      </c>
      <c r="H19" s="118"/>
      <c r="I19" s="108"/>
      <c r="J19" s="109">
        <f>G19*12+I19</f>
        <v>337708.80000000005</v>
      </c>
    </row>
    <row r="20" spans="1:10" ht="12.75">
      <c r="A20" s="107"/>
      <c r="B20" s="120"/>
      <c r="C20" s="123"/>
      <c r="D20" s="108"/>
      <c r="E20" s="111"/>
      <c r="F20" s="107"/>
      <c r="G20" s="110"/>
      <c r="H20" s="118"/>
      <c r="I20" s="112"/>
      <c r="J20" s="257"/>
    </row>
    <row r="21" spans="1:10" ht="12.75">
      <c r="A21" s="107" t="s">
        <v>4</v>
      </c>
      <c r="B21" s="121">
        <v>1</v>
      </c>
      <c r="C21" s="124">
        <f>C19+C20</f>
        <v>12792</v>
      </c>
      <c r="D21" s="109">
        <f>D19+D20</f>
        <v>12792</v>
      </c>
      <c r="E21" s="109">
        <f>E19</f>
        <v>8954.4</v>
      </c>
      <c r="F21" s="109">
        <f>F19</f>
        <v>6396</v>
      </c>
      <c r="G21" s="110">
        <f>D21+E21+F21</f>
        <v>28142.4</v>
      </c>
      <c r="H21" s="119"/>
      <c r="I21" s="109">
        <f>I19+I20</f>
        <v>0</v>
      </c>
      <c r="J21" s="109">
        <f>J19</f>
        <v>337708.80000000005</v>
      </c>
    </row>
    <row r="22" spans="1:10" ht="18.75" customHeight="1">
      <c r="A22" s="107" t="s">
        <v>86</v>
      </c>
      <c r="B22" s="121"/>
      <c r="C22" s="112"/>
      <c r="D22" s="109"/>
      <c r="E22" s="109"/>
      <c r="F22" s="109"/>
      <c r="G22" s="108"/>
      <c r="H22" s="109"/>
      <c r="I22" s="109"/>
      <c r="J22" s="109">
        <f>J21*30.2%</f>
        <v>101988.05760000001</v>
      </c>
    </row>
    <row r="23" spans="1:10" ht="23.25" customHeight="1">
      <c r="A23" s="107" t="s">
        <v>95</v>
      </c>
      <c r="B23" s="121">
        <v>1</v>
      </c>
      <c r="C23" s="112"/>
      <c r="D23" s="109"/>
      <c r="E23" s="109"/>
      <c r="F23" s="109"/>
      <c r="G23" s="108"/>
      <c r="H23" s="109"/>
      <c r="I23" s="109"/>
      <c r="J23" s="109">
        <f>J19+J20+J22</f>
        <v>439696.85760000005</v>
      </c>
    </row>
    <row r="24" spans="1:10" ht="12.75">
      <c r="A24" s="113"/>
      <c r="B24" s="114"/>
      <c r="C24" s="114"/>
      <c r="D24" s="115"/>
      <c r="E24" s="115"/>
      <c r="F24" s="113"/>
      <c r="G24" s="116"/>
      <c r="H24" s="115"/>
      <c r="I24" s="115"/>
      <c r="J24" s="113"/>
    </row>
    <row r="25" spans="2:3" ht="12.75">
      <c r="B25" s="23"/>
      <c r="C25" s="23"/>
    </row>
    <row r="27" spans="1:10" ht="12.75">
      <c r="A27" s="91" t="s">
        <v>15</v>
      </c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2.75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2.75">
      <c r="A30" s="91" t="s">
        <v>139</v>
      </c>
      <c r="B30" s="91"/>
      <c r="C30" s="91"/>
      <c r="D30" s="91"/>
      <c r="E30" s="91"/>
      <c r="F30" s="91"/>
      <c r="G30" s="91"/>
      <c r="H30" s="91"/>
      <c r="I30" s="91"/>
      <c r="J30" s="91"/>
    </row>
    <row r="45" spans="1:12" ht="12.75">
      <c r="A45" s="91" t="s">
        <v>0</v>
      </c>
      <c r="B45" s="91"/>
      <c r="C45" s="91"/>
      <c r="D45" s="91"/>
      <c r="E45" s="91"/>
      <c r="F45" s="91"/>
      <c r="G45" s="91"/>
      <c r="H45" s="91"/>
      <c r="I45" s="92" t="s">
        <v>46</v>
      </c>
      <c r="J45" s="92"/>
      <c r="K45" s="92"/>
      <c r="L45" s="92"/>
    </row>
    <row r="46" spans="1:12" ht="12.75">
      <c r="A46" s="91" t="s">
        <v>129</v>
      </c>
      <c r="B46" s="91"/>
      <c r="C46" s="91"/>
      <c r="D46" s="91"/>
      <c r="E46" s="91"/>
      <c r="F46" s="91"/>
      <c r="G46" s="91"/>
      <c r="H46" s="91"/>
      <c r="I46" s="92" t="s">
        <v>130</v>
      </c>
      <c r="J46" s="92"/>
      <c r="K46" s="92"/>
      <c r="L46" s="92"/>
    </row>
    <row r="47" spans="1:12" ht="12.75">
      <c r="A47" s="91" t="s">
        <v>41</v>
      </c>
      <c r="B47" s="91"/>
      <c r="C47" s="91"/>
      <c r="D47" s="91"/>
      <c r="E47" s="91"/>
      <c r="F47" s="91"/>
      <c r="G47" s="91"/>
      <c r="H47" s="91"/>
      <c r="I47" s="92" t="s">
        <v>53</v>
      </c>
      <c r="J47" s="92"/>
      <c r="K47" s="92"/>
      <c r="L47" s="92"/>
    </row>
    <row r="48" spans="1:12" ht="12.75">
      <c r="A48" s="91"/>
      <c r="B48" s="91"/>
      <c r="C48" s="91"/>
      <c r="D48" s="91"/>
      <c r="E48" s="91"/>
      <c r="F48" s="91"/>
      <c r="G48" s="91"/>
      <c r="H48" s="91"/>
      <c r="I48" s="92"/>
      <c r="J48" s="92"/>
      <c r="K48" s="92"/>
      <c r="L48" s="92"/>
    </row>
    <row r="49" spans="1:12" ht="12.75">
      <c r="A49" s="91" t="s">
        <v>92</v>
      </c>
      <c r="B49" s="91"/>
      <c r="C49" s="91"/>
      <c r="D49" s="91"/>
      <c r="E49" s="91"/>
      <c r="F49" s="91"/>
      <c r="G49" s="91"/>
      <c r="H49" s="91"/>
      <c r="I49" s="92" t="s">
        <v>125</v>
      </c>
      <c r="J49" s="92"/>
      <c r="K49" s="92"/>
      <c r="L49" s="92"/>
    </row>
    <row r="50" spans="1:12" ht="12.75">
      <c r="A50" s="91"/>
      <c r="B50" s="91"/>
      <c r="C50" s="91"/>
      <c r="D50" s="91"/>
      <c r="E50" s="91"/>
      <c r="F50" s="91"/>
      <c r="G50" s="91"/>
      <c r="H50" s="91"/>
      <c r="I50" s="91"/>
      <c r="J50" s="95"/>
      <c r="K50" s="95"/>
      <c r="L50" s="95"/>
    </row>
    <row r="51" spans="1:12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91"/>
      <c r="B53" s="91"/>
      <c r="C53" s="94" t="s">
        <v>11</v>
      </c>
      <c r="D53" s="94"/>
      <c r="E53" s="94"/>
      <c r="F53" s="94"/>
      <c r="G53" s="94"/>
      <c r="H53" s="93"/>
      <c r="I53" s="91"/>
      <c r="J53" s="91"/>
      <c r="K53" s="91"/>
      <c r="L53" s="91"/>
    </row>
    <row r="54" spans="1:12" ht="12.75">
      <c r="A54" s="91"/>
      <c r="B54" s="91"/>
      <c r="C54" s="94"/>
      <c r="D54" s="94" t="s">
        <v>12</v>
      </c>
      <c r="E54" s="94" t="s">
        <v>142</v>
      </c>
      <c r="F54" s="96"/>
      <c r="G54" s="94"/>
      <c r="H54" s="93"/>
      <c r="I54" s="91"/>
      <c r="J54" s="91"/>
      <c r="K54" s="91"/>
      <c r="L54" s="91"/>
    </row>
    <row r="56" ht="13.5" thickBot="1"/>
    <row r="57" spans="1:10" ht="12.75">
      <c r="A57" s="3" t="s">
        <v>1</v>
      </c>
      <c r="B57" s="3" t="s">
        <v>2</v>
      </c>
      <c r="C57" s="104" t="s">
        <v>3</v>
      </c>
      <c r="D57" s="104" t="s">
        <v>16</v>
      </c>
      <c r="E57" s="104" t="s">
        <v>93</v>
      </c>
      <c r="F57" s="126" t="s">
        <v>94</v>
      </c>
      <c r="G57" s="127" t="s">
        <v>5</v>
      </c>
      <c r="H57" s="7" t="s">
        <v>96</v>
      </c>
      <c r="I57" s="127" t="s">
        <v>97</v>
      </c>
      <c r="J57" s="129" t="s">
        <v>13</v>
      </c>
    </row>
    <row r="58" spans="1:10" ht="13.5" thickBot="1">
      <c r="A58" s="8"/>
      <c r="B58" s="8" t="s">
        <v>6</v>
      </c>
      <c r="C58" s="122" t="s">
        <v>7</v>
      </c>
      <c r="D58" s="125"/>
      <c r="E58" s="105">
        <v>0.7</v>
      </c>
      <c r="F58" s="106">
        <v>0.5</v>
      </c>
      <c r="G58" s="11"/>
      <c r="H58" s="117"/>
      <c r="I58" s="128">
        <v>0.6</v>
      </c>
      <c r="J58" s="130" t="s">
        <v>18</v>
      </c>
    </row>
    <row r="59" spans="1:10" ht="12.75">
      <c r="A59" s="107" t="s">
        <v>14</v>
      </c>
      <c r="B59" s="120">
        <v>1</v>
      </c>
      <c r="C59" s="118">
        <v>11163</v>
      </c>
      <c r="D59" s="108">
        <v>11163</v>
      </c>
      <c r="E59" s="108">
        <f>D59*70%</f>
        <v>7814.099999999999</v>
      </c>
      <c r="F59" s="109">
        <f>D59*50%</f>
        <v>5581.5</v>
      </c>
      <c r="G59" s="110">
        <f>D59+E59+F59</f>
        <v>24558.6</v>
      </c>
      <c r="H59" s="118"/>
      <c r="I59" s="108"/>
      <c r="J59" s="109">
        <f>G59*8+H59+I59</f>
        <v>196468.8</v>
      </c>
    </row>
    <row r="60" spans="1:10" ht="12.75">
      <c r="A60" s="107"/>
      <c r="B60" s="120"/>
      <c r="C60" s="123"/>
      <c r="D60" s="108"/>
      <c r="E60" s="111"/>
      <c r="F60" s="107"/>
      <c r="G60" s="110"/>
      <c r="H60" s="118"/>
      <c r="I60" s="112"/>
      <c r="J60" s="107"/>
    </row>
    <row r="61" spans="1:10" ht="12.75">
      <c r="A61" s="107" t="s">
        <v>4</v>
      </c>
      <c r="B61" s="121">
        <v>1</v>
      </c>
      <c r="C61" s="124">
        <f>C59+C60</f>
        <v>11163</v>
      </c>
      <c r="D61" s="109">
        <f>D59+D60</f>
        <v>11163</v>
      </c>
      <c r="E61" s="109">
        <f>E59</f>
        <v>7814.099999999999</v>
      </c>
      <c r="F61" s="109">
        <f>F59</f>
        <v>5581.5</v>
      </c>
      <c r="G61" s="110">
        <f>D61+E61+F61</f>
        <v>24558.6</v>
      </c>
      <c r="H61" s="119">
        <f>H59+H60</f>
        <v>0</v>
      </c>
      <c r="I61" s="109">
        <f>I59+I60</f>
        <v>0</v>
      </c>
      <c r="J61" s="109">
        <f>J59</f>
        <v>196468.8</v>
      </c>
    </row>
    <row r="62" spans="1:10" ht="12.75">
      <c r="A62" s="107" t="s">
        <v>86</v>
      </c>
      <c r="B62" s="121"/>
      <c r="C62" s="112"/>
      <c r="D62" s="109"/>
      <c r="E62" s="109"/>
      <c r="F62" s="109"/>
      <c r="G62" s="108"/>
      <c r="H62" s="109"/>
      <c r="I62" s="109"/>
      <c r="J62" s="109">
        <f>J61*30.2%</f>
        <v>59333.5776</v>
      </c>
    </row>
    <row r="63" spans="1:10" ht="12.75">
      <c r="A63" s="107" t="s">
        <v>95</v>
      </c>
      <c r="B63" s="121">
        <v>1</v>
      </c>
      <c r="C63" s="112"/>
      <c r="D63" s="109"/>
      <c r="E63" s="109"/>
      <c r="F63" s="109"/>
      <c r="G63" s="108"/>
      <c r="H63" s="109"/>
      <c r="I63" s="109"/>
      <c r="J63" s="109">
        <f>J61+J62</f>
        <v>255802.37759999998</v>
      </c>
    </row>
    <row r="64" spans="1:10" ht="12.75">
      <c r="A64" s="113"/>
      <c r="B64" s="114"/>
      <c r="C64" s="114"/>
      <c r="D64" s="115"/>
      <c r="E64" s="115"/>
      <c r="F64" s="113"/>
      <c r="G64" s="116"/>
      <c r="H64" s="115"/>
      <c r="I64" s="115"/>
      <c r="J64" s="113"/>
    </row>
    <row r="65" spans="2:3" ht="12.75">
      <c r="B65" s="23"/>
      <c r="C65" s="23"/>
    </row>
    <row r="67" spans="1:10" ht="12.75">
      <c r="A67" s="91" t="s">
        <v>15</v>
      </c>
      <c r="B67" s="91"/>
      <c r="C67" s="91"/>
      <c r="D67" s="91"/>
      <c r="E67" s="91"/>
      <c r="F67" s="91"/>
      <c r="G67" s="91"/>
      <c r="H67" s="91"/>
      <c r="I67" s="91"/>
      <c r="J67" s="91"/>
    </row>
    <row r="68" spans="1:10" ht="12.75">
      <c r="A68" s="91"/>
      <c r="B68" s="91"/>
      <c r="C68" s="91"/>
      <c r="D68" s="91"/>
      <c r="E68" s="91"/>
      <c r="F68" s="91"/>
      <c r="G68" s="91"/>
      <c r="H68" s="91"/>
      <c r="I68" s="91"/>
      <c r="J68" s="91"/>
    </row>
    <row r="69" spans="1:10" ht="12.75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2.75">
      <c r="A70" s="91" t="s">
        <v>139</v>
      </c>
      <c r="B70" s="91"/>
      <c r="C70" s="91"/>
      <c r="D70" s="91"/>
      <c r="E70" s="91"/>
      <c r="F70" s="91"/>
      <c r="G70" s="91"/>
      <c r="H70" s="91"/>
      <c r="I70" s="91"/>
      <c r="J70" s="9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9">
      <selection activeCell="A1" sqref="A1:T30"/>
    </sheetView>
  </sheetViews>
  <sheetFormatPr defaultColWidth="9.00390625" defaultRowHeight="12.75"/>
  <cols>
    <col min="1" max="1" width="14.125" style="0" customWidth="1"/>
    <col min="2" max="2" width="1.75390625" style="0" customWidth="1"/>
    <col min="3" max="3" width="0.12890625" style="0" customWidth="1"/>
    <col min="4" max="4" width="3.00390625" style="0" customWidth="1"/>
    <col min="5" max="5" width="3.25390625" style="0" customWidth="1"/>
    <col min="6" max="6" width="3.875" style="0" customWidth="1"/>
    <col min="7" max="7" width="7.75390625" style="0" customWidth="1"/>
    <col min="8" max="8" width="0.74609375" style="0" hidden="1" customWidth="1"/>
    <col min="9" max="9" width="8.00390625" style="0" customWidth="1"/>
    <col min="10" max="10" width="8.625" style="0" customWidth="1"/>
    <col min="11" max="11" width="9.625" style="0" customWidth="1"/>
    <col min="12" max="12" width="9.25390625" style="0" customWidth="1"/>
    <col min="13" max="13" width="8.375" style="0" customWidth="1"/>
    <col min="14" max="15" width="9.25390625" style="0" customWidth="1"/>
    <col min="16" max="16" width="9.25390625" style="0" bestFit="1" customWidth="1"/>
    <col min="17" max="17" width="9.25390625" style="0" customWidth="1"/>
    <col min="18" max="18" width="9.00390625" style="0" customWidth="1"/>
    <col min="19" max="19" width="8.875" style="0" customWidth="1"/>
    <col min="20" max="20" width="10.25390625" style="0" customWidth="1"/>
  </cols>
  <sheetData>
    <row r="1" spans="1:20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t="s">
        <v>159</v>
      </c>
      <c r="R1" s="63"/>
      <c r="S1" s="63"/>
      <c r="T1" s="63"/>
    </row>
    <row r="2" spans="1:20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t="s">
        <v>144</v>
      </c>
      <c r="R2" s="63"/>
      <c r="S2" s="63"/>
      <c r="T2" s="63"/>
    </row>
    <row r="3" spans="1:20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t="s">
        <v>153</v>
      </c>
      <c r="R3" s="236"/>
      <c r="S3" s="63"/>
      <c r="T3" s="63"/>
    </row>
    <row r="4" spans="1:20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P4" t="s">
        <v>156</v>
      </c>
      <c r="R4" s="107" t="s">
        <v>154</v>
      </c>
      <c r="S4" s="63"/>
      <c r="T4" s="63"/>
    </row>
    <row r="5" spans="1:20" ht="15.75">
      <c r="A5" s="62"/>
      <c r="B5" s="62"/>
      <c r="C5" s="62"/>
      <c r="D5" s="62"/>
      <c r="E5" s="62"/>
      <c r="F5" s="62"/>
      <c r="G5" s="62"/>
      <c r="H5" s="62"/>
      <c r="I5" t="s">
        <v>135</v>
      </c>
      <c r="L5" s="62"/>
      <c r="M5" s="62"/>
      <c r="N5" s="62"/>
      <c r="P5" t="s">
        <v>163</v>
      </c>
      <c r="R5" s="236"/>
      <c r="S5" s="63"/>
      <c r="T5" s="63"/>
    </row>
    <row r="6" spans="1:20" ht="15.75">
      <c r="A6" s="62"/>
      <c r="B6" s="62"/>
      <c r="C6" s="62"/>
      <c r="D6" s="62"/>
      <c r="E6" s="62"/>
      <c r="F6" s="62"/>
      <c r="G6" s="62"/>
      <c r="H6" s="62"/>
      <c r="I6" t="s">
        <v>173</v>
      </c>
      <c r="K6" s="62"/>
      <c r="L6" s="62"/>
      <c r="M6" s="62"/>
      <c r="N6" s="62"/>
      <c r="R6" s="63"/>
      <c r="S6" s="63"/>
      <c r="T6" s="63"/>
    </row>
    <row r="7" spans="1:20" ht="15.75">
      <c r="A7" s="62"/>
      <c r="B7" s="62"/>
      <c r="C7" s="62"/>
      <c r="D7" s="62"/>
      <c r="E7" s="62"/>
      <c r="F7" s="62"/>
      <c r="G7" s="62"/>
      <c r="H7" s="62"/>
      <c r="I7" t="s">
        <v>200</v>
      </c>
      <c r="J7" s="228"/>
      <c r="L7" s="62"/>
      <c r="M7" s="62"/>
      <c r="N7" s="62"/>
      <c r="R7" s="63"/>
      <c r="S7" s="63"/>
      <c r="T7" s="63"/>
    </row>
    <row r="8" spans="1:20" ht="15.75">
      <c r="A8" s="62"/>
      <c r="B8" s="62"/>
      <c r="C8" s="62"/>
      <c r="D8" s="62"/>
      <c r="E8" s="62"/>
      <c r="F8" s="62"/>
      <c r="G8" s="62"/>
      <c r="H8" s="62"/>
      <c r="K8" s="62"/>
      <c r="L8" s="62"/>
      <c r="M8" s="62"/>
      <c r="N8" s="62"/>
      <c r="R8" s="63"/>
      <c r="S8" s="63"/>
      <c r="T8" s="63"/>
    </row>
    <row r="9" spans="1:20" ht="15.75">
      <c r="A9" s="62"/>
      <c r="B9" s="91" t="s">
        <v>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 t="s">
        <v>46</v>
      </c>
      <c r="P9" s="92"/>
      <c r="Q9" s="92"/>
      <c r="R9" s="92"/>
      <c r="S9" s="92"/>
      <c r="T9" s="62"/>
    </row>
    <row r="10" spans="1:20" ht="15.75">
      <c r="A10" s="62"/>
      <c r="B10" s="91" t="s">
        <v>127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 t="s">
        <v>130</v>
      </c>
      <c r="P10" s="92"/>
      <c r="Q10" s="92"/>
      <c r="R10" s="92"/>
      <c r="S10" s="92"/>
      <c r="T10" s="62"/>
    </row>
    <row r="11" spans="1:20" ht="15.75">
      <c r="A11" s="62"/>
      <c r="B11" s="91" t="s">
        <v>41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 t="s">
        <v>53</v>
      </c>
      <c r="P11" s="92"/>
      <c r="Q11" s="92"/>
      <c r="R11" s="92"/>
      <c r="S11" s="92"/>
      <c r="T11" s="62"/>
    </row>
    <row r="12" spans="1:20" ht="15.75">
      <c r="A12" s="62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2"/>
      <c r="Q12" s="92"/>
      <c r="R12" s="91"/>
      <c r="S12" s="92"/>
      <c r="T12" s="62"/>
    </row>
    <row r="13" spans="1:20" ht="15.75">
      <c r="A13" s="62"/>
      <c r="B13" s="91" t="s">
        <v>98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126</v>
      </c>
      <c r="P13" s="91"/>
      <c r="Q13" s="91"/>
      <c r="R13" s="95"/>
      <c r="S13" s="91"/>
      <c r="T13" s="62"/>
    </row>
    <row r="14" spans="1:20" ht="15.75">
      <c r="A14" s="6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228" t="s">
        <v>155</v>
      </c>
      <c r="P14" s="228"/>
      <c r="Q14" s="228"/>
      <c r="R14" s="91"/>
      <c r="T14" s="62"/>
    </row>
    <row r="15" spans="1:20" ht="15.75">
      <c r="A15" s="62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t="s">
        <v>185</v>
      </c>
      <c r="P15" s="228"/>
      <c r="Q15" s="228"/>
      <c r="R15" s="91"/>
      <c r="T15" s="62"/>
    </row>
    <row r="16" spans="1:19" ht="21.7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63"/>
      <c r="S16" s="63"/>
    </row>
    <row r="17" spans="1:20" ht="21.75" customHeight="1">
      <c r="A17" s="292" t="s">
        <v>83</v>
      </c>
      <c r="B17" s="293"/>
      <c r="C17" s="294"/>
      <c r="D17" s="301" t="s">
        <v>66</v>
      </c>
      <c r="E17" s="68"/>
      <c r="F17" s="304" t="s">
        <v>99</v>
      </c>
      <c r="G17" s="307" t="s">
        <v>67</v>
      </c>
      <c r="H17" s="310" t="s">
        <v>68</v>
      </c>
      <c r="I17" s="311"/>
      <c r="J17" s="311"/>
      <c r="K17" s="311"/>
      <c r="L17" s="312"/>
      <c r="M17" s="313" t="s">
        <v>69</v>
      </c>
      <c r="N17" s="286" t="s">
        <v>70</v>
      </c>
      <c r="O17" s="286" t="s">
        <v>71</v>
      </c>
      <c r="P17" s="286" t="s">
        <v>72</v>
      </c>
      <c r="Q17" s="286" t="s">
        <v>73</v>
      </c>
      <c r="R17" s="315" t="s">
        <v>167</v>
      </c>
      <c r="S17" s="286" t="s">
        <v>87</v>
      </c>
      <c r="T17" s="289" t="s">
        <v>74</v>
      </c>
    </row>
    <row r="18" spans="1:20" ht="21" customHeight="1">
      <c r="A18" s="295"/>
      <c r="B18" s="296"/>
      <c r="C18" s="297"/>
      <c r="D18" s="302"/>
      <c r="E18" s="69"/>
      <c r="F18" s="305"/>
      <c r="G18" s="308"/>
      <c r="H18" s="70"/>
      <c r="I18" s="71"/>
      <c r="J18" s="71"/>
      <c r="K18" s="71"/>
      <c r="L18" s="71"/>
      <c r="M18" s="314"/>
      <c r="N18" s="287"/>
      <c r="O18" s="287"/>
      <c r="P18" s="287"/>
      <c r="Q18" s="287"/>
      <c r="R18" s="316"/>
      <c r="S18" s="287"/>
      <c r="T18" s="290"/>
    </row>
    <row r="19" spans="1:20" ht="78" customHeight="1">
      <c r="A19" s="295"/>
      <c r="B19" s="296"/>
      <c r="C19" s="297"/>
      <c r="D19" s="302"/>
      <c r="E19" s="69" t="s">
        <v>75</v>
      </c>
      <c r="F19" s="305"/>
      <c r="G19" s="308"/>
      <c r="H19" s="72" t="s">
        <v>32</v>
      </c>
      <c r="I19" s="73" t="s">
        <v>76</v>
      </c>
      <c r="J19" s="74" t="s">
        <v>9</v>
      </c>
      <c r="K19" s="75" t="s">
        <v>77</v>
      </c>
      <c r="L19" s="72" t="s">
        <v>78</v>
      </c>
      <c r="M19" s="76" t="s">
        <v>79</v>
      </c>
      <c r="N19" s="287"/>
      <c r="O19" s="288"/>
      <c r="P19" s="288"/>
      <c r="Q19" s="287"/>
      <c r="R19" s="317"/>
      <c r="S19" s="287"/>
      <c r="T19" s="290"/>
    </row>
    <row r="20" spans="1:20" ht="13.5" thickBot="1">
      <c r="A20" s="298"/>
      <c r="B20" s="299"/>
      <c r="C20" s="300"/>
      <c r="D20" s="303"/>
      <c r="E20" s="77"/>
      <c r="F20" s="306"/>
      <c r="G20" s="309"/>
      <c r="H20" s="78">
        <v>0.3</v>
      </c>
      <c r="I20" s="79"/>
      <c r="J20" s="80">
        <v>0.25</v>
      </c>
      <c r="K20" s="81">
        <v>0.3</v>
      </c>
      <c r="L20" s="82"/>
      <c r="M20" s="83" t="s">
        <v>88</v>
      </c>
      <c r="N20" s="288"/>
      <c r="O20" s="84" t="s">
        <v>80</v>
      </c>
      <c r="P20" s="85">
        <v>0.7</v>
      </c>
      <c r="Q20" s="288"/>
      <c r="R20" s="142">
        <v>1.2</v>
      </c>
      <c r="S20" s="288"/>
      <c r="T20" s="291"/>
    </row>
    <row r="21" spans="1:20" ht="15" customHeight="1">
      <c r="A21" s="158" t="s">
        <v>101</v>
      </c>
      <c r="B21" s="131"/>
      <c r="C21" s="318">
        <v>1</v>
      </c>
      <c r="D21" s="319"/>
      <c r="E21" s="133">
        <v>1</v>
      </c>
      <c r="F21" s="134">
        <v>3</v>
      </c>
      <c r="G21" s="135">
        <v>6030</v>
      </c>
      <c r="H21" s="136"/>
      <c r="I21" s="137">
        <f>G21*30%</f>
        <v>1809</v>
      </c>
      <c r="J21" s="138">
        <f>G21*25%</f>
        <v>1507.5</v>
      </c>
      <c r="K21" s="138">
        <f>G21*30%</f>
        <v>1809</v>
      </c>
      <c r="L21" s="139">
        <v>4598.72</v>
      </c>
      <c r="M21" s="140">
        <f>G21*4%</f>
        <v>241.20000000000002</v>
      </c>
      <c r="N21" s="141">
        <f>G21+H21+I21+J21+L21+M21+K21</f>
        <v>15995.420000000002</v>
      </c>
      <c r="O21" s="141">
        <f>N21*50%</f>
        <v>7997.710000000001</v>
      </c>
      <c r="P21" s="142">
        <f>N21*70%</f>
        <v>11196.794</v>
      </c>
      <c r="Q21" s="142">
        <f>N21+O21+P21</f>
        <v>35189.924000000006</v>
      </c>
      <c r="R21" s="243">
        <v>26532</v>
      </c>
      <c r="S21" s="141">
        <v>13266</v>
      </c>
      <c r="T21" s="181">
        <f>Q21*12+R21+S21</f>
        <v>462077.0880000001</v>
      </c>
    </row>
    <row r="22" spans="1:20" ht="13.5" thickBot="1">
      <c r="A22" s="144" t="s">
        <v>100</v>
      </c>
      <c r="B22" s="132"/>
      <c r="C22" s="145"/>
      <c r="D22" s="132"/>
      <c r="E22" s="146"/>
      <c r="F22" s="147"/>
      <c r="G22" s="148"/>
      <c r="H22" s="149"/>
      <c r="I22" s="150"/>
      <c r="J22" s="151"/>
      <c r="K22" s="152"/>
      <c r="L22" s="153"/>
      <c r="M22" s="154"/>
      <c r="N22" s="155"/>
      <c r="O22" s="155"/>
      <c r="P22" s="156"/>
      <c r="Q22" s="157"/>
      <c r="R22" s="256"/>
      <c r="S22" s="143"/>
      <c r="T22" s="182"/>
    </row>
    <row r="23" spans="1:20" ht="13.5" thickBot="1">
      <c r="A23" s="158" t="s">
        <v>26</v>
      </c>
      <c r="B23" s="159"/>
      <c r="C23" s="160">
        <v>2</v>
      </c>
      <c r="D23" s="161">
        <v>1</v>
      </c>
      <c r="E23" s="132">
        <v>1</v>
      </c>
      <c r="F23" s="144">
        <v>3</v>
      </c>
      <c r="G23" s="162">
        <f>SUM(G19:G22)</f>
        <v>6030</v>
      </c>
      <c r="H23" s="163" t="e">
        <f>H19+H20</f>
        <v>#VALUE!</v>
      </c>
      <c r="I23" s="164">
        <f aca="true" t="shared" si="0" ref="I23:O23">SUM(I19:I22)</f>
        <v>1809</v>
      </c>
      <c r="J23" s="163">
        <f t="shared" si="0"/>
        <v>1507.75</v>
      </c>
      <c r="K23" s="165">
        <f t="shared" si="0"/>
        <v>1809.3</v>
      </c>
      <c r="L23" s="166">
        <f t="shared" si="0"/>
        <v>4598.72</v>
      </c>
      <c r="M23" s="167">
        <f t="shared" si="0"/>
        <v>241.20000000000002</v>
      </c>
      <c r="N23" s="163">
        <f t="shared" si="0"/>
        <v>15995.420000000002</v>
      </c>
      <c r="O23" s="163">
        <f t="shared" si="0"/>
        <v>7997.710000000001</v>
      </c>
      <c r="P23" s="168">
        <f>P21</f>
        <v>11196.794</v>
      </c>
      <c r="Q23" s="168">
        <f>SUM(Q19:Q22)</f>
        <v>35189.924000000006</v>
      </c>
      <c r="R23" s="243">
        <f>R21</f>
        <v>26532</v>
      </c>
      <c r="S23" s="163">
        <f>SUM(S19:S22)</f>
        <v>13266</v>
      </c>
      <c r="T23" s="183">
        <f>T21</f>
        <v>462077.0880000001</v>
      </c>
    </row>
    <row r="24" spans="1:20" ht="13.5" thickBot="1">
      <c r="A24" s="320" t="s">
        <v>86</v>
      </c>
      <c r="B24" s="319"/>
      <c r="C24" s="169"/>
      <c r="D24" s="132"/>
      <c r="E24" s="170"/>
      <c r="F24" s="147"/>
      <c r="G24" s="170"/>
      <c r="H24" s="171"/>
      <c r="I24" s="172"/>
      <c r="J24" s="173"/>
      <c r="K24" s="174"/>
      <c r="L24" s="175"/>
      <c r="M24" s="176"/>
      <c r="N24" s="177"/>
      <c r="O24" s="177"/>
      <c r="P24" s="178"/>
      <c r="Q24" s="179"/>
      <c r="R24" s="12"/>
      <c r="S24" s="180"/>
      <c r="T24" s="184">
        <f>T21*30.2%</f>
        <v>139547.28057600002</v>
      </c>
    </row>
    <row r="25" spans="1:20" ht="13.5" thickBot="1">
      <c r="A25" s="158" t="s">
        <v>102</v>
      </c>
      <c r="B25" s="159"/>
      <c r="C25" s="160">
        <v>2</v>
      </c>
      <c r="D25" s="161">
        <v>1</v>
      </c>
      <c r="E25" s="132"/>
      <c r="F25" s="144"/>
      <c r="G25" s="162"/>
      <c r="H25" s="163"/>
      <c r="I25" s="164"/>
      <c r="J25" s="163"/>
      <c r="K25" s="165"/>
      <c r="L25" s="166"/>
      <c r="M25" s="167"/>
      <c r="N25" s="163"/>
      <c r="O25" s="163"/>
      <c r="P25" s="168"/>
      <c r="Q25" s="168"/>
      <c r="R25" s="12"/>
      <c r="S25" s="163"/>
      <c r="T25" s="183">
        <f>T23+T24</f>
        <v>601624.3685760001</v>
      </c>
    </row>
    <row r="26" spans="1:20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63"/>
      <c r="S26" s="63"/>
      <c r="T26" s="63"/>
    </row>
    <row r="27" spans="1:20" ht="15.75">
      <c r="A27" s="91" t="s">
        <v>81</v>
      </c>
      <c r="B27" s="91"/>
      <c r="C27" s="91"/>
      <c r="D27" s="91"/>
      <c r="E27" s="91"/>
      <c r="F27" s="91"/>
      <c r="G27" s="91"/>
      <c r="H27" s="91"/>
      <c r="I27" s="91"/>
      <c r="J27" s="62"/>
      <c r="K27" s="62"/>
      <c r="L27" s="62"/>
      <c r="M27" s="62"/>
      <c r="N27" s="62"/>
      <c r="O27" s="62"/>
      <c r="P27" s="63"/>
      <c r="Q27" s="63"/>
      <c r="R27" s="63"/>
      <c r="S27" s="63"/>
      <c r="T27" s="63"/>
    </row>
    <row r="28" spans="1:20" ht="15.75">
      <c r="A28" s="91"/>
      <c r="B28" s="91"/>
      <c r="C28" s="91"/>
      <c r="D28" s="91"/>
      <c r="E28" s="91"/>
      <c r="F28" s="91"/>
      <c r="G28" s="91"/>
      <c r="H28" s="91"/>
      <c r="I28" s="91"/>
      <c r="J28" s="62"/>
      <c r="K28" s="62"/>
      <c r="L28" s="62"/>
      <c r="M28" s="62"/>
      <c r="N28" s="62"/>
      <c r="O28" s="62"/>
      <c r="P28" s="63"/>
      <c r="Q28" s="63"/>
      <c r="S28" s="63"/>
      <c r="T28" s="63"/>
    </row>
    <row r="29" spans="1:20" ht="15.75">
      <c r="A29" s="91" t="s">
        <v>138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62"/>
      <c r="M29" s="62"/>
      <c r="N29" s="62"/>
      <c r="O29" s="62"/>
      <c r="P29" s="63"/>
      <c r="Q29" s="63"/>
      <c r="S29" s="63"/>
      <c r="T29" s="63"/>
    </row>
  </sheetData>
  <sheetProtection/>
  <mergeCells count="15">
    <mergeCell ref="C21:D21"/>
    <mergeCell ref="A24:B24"/>
    <mergeCell ref="N17:N20"/>
    <mergeCell ref="O17:O19"/>
    <mergeCell ref="P17:P19"/>
    <mergeCell ref="Q17:Q20"/>
    <mergeCell ref="S17:S20"/>
    <mergeCell ref="T17:T20"/>
    <mergeCell ref="A17:C20"/>
    <mergeCell ref="D17:D20"/>
    <mergeCell ref="F17:F20"/>
    <mergeCell ref="G17:G20"/>
    <mergeCell ref="H17:L17"/>
    <mergeCell ref="M17:M18"/>
    <mergeCell ref="R17:R1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1"/>
  <sheetViews>
    <sheetView zoomScalePageLayoutView="0" workbookViewId="0" topLeftCell="A16">
      <selection activeCell="X23" sqref="X23"/>
    </sheetView>
  </sheetViews>
  <sheetFormatPr defaultColWidth="9.00390625" defaultRowHeight="12.75"/>
  <cols>
    <col min="1" max="1" width="11.75390625" style="0" customWidth="1"/>
    <col min="2" max="2" width="3.75390625" style="0" customWidth="1"/>
    <col min="3" max="3" width="2.25390625" style="0" customWidth="1"/>
    <col min="4" max="4" width="7.375" style="0" customWidth="1"/>
    <col min="5" max="5" width="3.75390625" style="0" customWidth="1"/>
    <col min="6" max="6" width="6.375" style="0" customWidth="1"/>
    <col min="7" max="7" width="4.375" style="0" customWidth="1"/>
    <col min="8" max="8" width="7.625" style="0" customWidth="1"/>
    <col min="9" max="9" width="7.375" style="0" customWidth="1"/>
    <col min="10" max="10" width="3.625" style="0" customWidth="1"/>
    <col min="11" max="11" width="6.375" style="0" customWidth="1"/>
    <col min="12" max="12" width="3.375" style="0" customWidth="1"/>
    <col min="13" max="13" width="6.375" style="0" customWidth="1"/>
    <col min="14" max="14" width="2.625" style="0" hidden="1" customWidth="1"/>
    <col min="15" max="15" width="0.12890625" style="0" customWidth="1"/>
    <col min="16" max="16" width="2.375" style="0" customWidth="1"/>
    <col min="17" max="17" width="5.375" style="0" customWidth="1"/>
    <col min="18" max="18" width="7.25390625" style="0" customWidth="1"/>
    <col min="19" max="19" width="7.125" style="0" customWidth="1"/>
    <col min="20" max="20" width="7.375" style="0" customWidth="1"/>
    <col min="21" max="21" width="8.75390625" style="0" customWidth="1"/>
    <col min="22" max="22" width="7.25390625" style="0" customWidth="1"/>
    <col min="23" max="23" width="7.375" style="0" customWidth="1"/>
    <col min="24" max="24" width="9.25390625" style="0" customWidth="1"/>
    <col min="25" max="25" width="10.625" style="0" bestFit="1" customWidth="1"/>
  </cols>
  <sheetData>
    <row r="1" spans="19:56" ht="15.75">
      <c r="S1" s="329" t="s">
        <v>191</v>
      </c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</row>
    <row r="2" spans="1:2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S2" s="244" t="s">
        <v>192</v>
      </c>
      <c r="T2" s="1"/>
      <c r="U2" s="1"/>
      <c r="V2" s="1"/>
      <c r="W2" s="1"/>
      <c r="X2" s="1"/>
      <c r="Y2" s="1"/>
    </row>
    <row r="3" spans="1:24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S3" s="331" t="s">
        <v>193</v>
      </c>
      <c r="T3" s="331"/>
      <c r="U3" s="331"/>
      <c r="V3" s="331"/>
      <c r="X3" s="21"/>
    </row>
    <row r="4" spans="1:24" ht="12.75">
      <c r="A4" s="91"/>
      <c r="B4" s="91"/>
      <c r="C4" s="91"/>
      <c r="D4" s="91"/>
      <c r="E4" s="91"/>
      <c r="F4" s="91"/>
      <c r="G4" s="91"/>
      <c r="H4" s="91" t="s">
        <v>135</v>
      </c>
      <c r="I4" s="91"/>
      <c r="J4" s="91"/>
      <c r="K4" s="91"/>
      <c r="L4" s="91"/>
      <c r="M4" s="91"/>
      <c r="N4" s="91"/>
      <c r="O4" s="91"/>
      <c r="V4" t="s">
        <v>147</v>
      </c>
      <c r="X4" s="21" t="s">
        <v>154</v>
      </c>
    </row>
    <row r="5" spans="1:24" ht="15.75">
      <c r="A5" s="91"/>
      <c r="B5" s="91"/>
      <c r="C5" s="91"/>
      <c r="D5" s="91"/>
      <c r="E5" s="91"/>
      <c r="F5" s="228"/>
      <c r="G5" s="228"/>
      <c r="J5" s="62"/>
      <c r="M5" s="91"/>
      <c r="N5" s="91"/>
      <c r="O5" s="91"/>
      <c r="V5" t="s">
        <v>150</v>
      </c>
      <c r="X5" s="21"/>
    </row>
    <row r="6" spans="1:24" ht="15.75">
      <c r="A6" s="91"/>
      <c r="B6" s="91"/>
      <c r="C6" s="91"/>
      <c r="D6" s="91"/>
      <c r="E6" s="91"/>
      <c r="F6" s="228"/>
      <c r="G6" s="228"/>
      <c r="H6" t="s">
        <v>169</v>
      </c>
      <c r="J6" s="62"/>
      <c r="M6" s="91"/>
      <c r="N6" s="91"/>
      <c r="O6" s="91"/>
      <c r="X6" s="24"/>
    </row>
    <row r="7" spans="1:24" ht="12.75">
      <c r="A7" s="91"/>
      <c r="B7" s="91"/>
      <c r="C7" s="91"/>
      <c r="D7" s="91"/>
      <c r="E7" s="91"/>
      <c r="F7" s="228"/>
      <c r="G7" s="228"/>
      <c r="H7" t="s">
        <v>199</v>
      </c>
      <c r="I7" s="228"/>
      <c r="J7" s="228"/>
      <c r="M7" s="91"/>
      <c r="N7" s="91"/>
      <c r="O7" s="91"/>
      <c r="X7" s="24"/>
    </row>
    <row r="8" spans="1:24" ht="12.75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 t="s">
        <v>46</v>
      </c>
      <c r="U8" s="91"/>
      <c r="V8" s="91"/>
      <c r="W8" s="91"/>
      <c r="X8" s="91"/>
    </row>
    <row r="9" spans="1:24" ht="12.75">
      <c r="A9" s="91" t="s">
        <v>122</v>
      </c>
      <c r="B9" s="91"/>
      <c r="C9" s="91"/>
      <c r="D9" s="91"/>
      <c r="E9" s="91"/>
      <c r="F9" s="91"/>
      <c r="G9" s="91"/>
      <c r="H9" s="91" t="s">
        <v>165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 t="s">
        <v>131</v>
      </c>
      <c r="U9" s="91"/>
      <c r="V9" s="91"/>
      <c r="W9" s="91"/>
      <c r="X9" s="91"/>
    </row>
    <row r="10" spans="1:24" ht="12.75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 t="s">
        <v>132</v>
      </c>
      <c r="U10" s="91"/>
      <c r="V10" s="91"/>
      <c r="W10" s="91"/>
      <c r="X10" s="91"/>
    </row>
    <row r="11" spans="1:24" ht="12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1:24" ht="12.75">
      <c r="A12" s="91" t="s">
        <v>115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 t="s">
        <v>124</v>
      </c>
      <c r="U12" s="91"/>
      <c r="V12" s="91"/>
      <c r="W12" s="91"/>
      <c r="X12" s="91"/>
    </row>
    <row r="13" spans="1:24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5"/>
      <c r="U13" s="95"/>
      <c r="V13" s="95"/>
      <c r="W13" s="95"/>
      <c r="X13" s="91"/>
    </row>
    <row r="14" spans="1:24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t="s">
        <v>184</v>
      </c>
      <c r="U14" s="228"/>
      <c r="V14" s="228"/>
      <c r="W14" s="228"/>
      <c r="X14" s="91"/>
    </row>
    <row r="15" spans="1:24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3"/>
      <c r="M15" s="93"/>
      <c r="N15" s="93"/>
      <c r="O15" s="93"/>
      <c r="P15" s="93"/>
      <c r="Q15" s="93"/>
      <c r="R15" s="93"/>
      <c r="S15" s="91"/>
      <c r="T15" s="330" t="s">
        <v>194</v>
      </c>
      <c r="U15" s="330"/>
      <c r="V15" s="330"/>
      <c r="W15" s="330"/>
      <c r="X15" s="91"/>
    </row>
    <row r="16" spans="1:24" ht="12.7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228"/>
      <c r="U16" s="228"/>
      <c r="V16" s="228"/>
      <c r="W16" s="228"/>
      <c r="X16" s="91"/>
    </row>
    <row r="17" spans="1:24" ht="12.75" customHeight="1">
      <c r="A17" s="4" t="s">
        <v>1</v>
      </c>
      <c r="B17" s="284" t="s">
        <v>2</v>
      </c>
      <c r="C17" s="4"/>
      <c r="D17" s="4" t="s">
        <v>28</v>
      </c>
      <c r="E17" s="13" t="s">
        <v>34</v>
      </c>
      <c r="F17" s="48"/>
      <c r="G17" s="48"/>
      <c r="H17" s="48"/>
      <c r="I17" s="15" t="s">
        <v>181</v>
      </c>
      <c r="J17" s="13" t="s">
        <v>35</v>
      </c>
      <c r="K17" s="43"/>
      <c r="L17" s="43"/>
      <c r="M17" s="43"/>
      <c r="N17" s="6"/>
      <c r="O17" s="6"/>
      <c r="P17" s="43"/>
      <c r="Q17" s="40"/>
      <c r="R17" s="58"/>
      <c r="S17" s="6" t="s">
        <v>17</v>
      </c>
      <c r="T17" s="4" t="s">
        <v>21</v>
      </c>
      <c r="U17" s="322" t="s">
        <v>95</v>
      </c>
      <c r="V17" s="60" t="s">
        <v>48</v>
      </c>
      <c r="W17" s="4" t="s">
        <v>50</v>
      </c>
      <c r="X17" s="4" t="s">
        <v>43</v>
      </c>
    </row>
    <row r="18" spans="1:24" ht="12.75">
      <c r="A18" s="31"/>
      <c r="B18" s="321"/>
      <c r="C18" s="193"/>
      <c r="D18" s="9"/>
      <c r="E18" s="5" t="s">
        <v>32</v>
      </c>
      <c r="F18" s="57"/>
      <c r="G18" s="54" t="s">
        <v>38</v>
      </c>
      <c r="H18" s="54"/>
      <c r="I18" s="4" t="s">
        <v>182</v>
      </c>
      <c r="J18" s="5" t="s">
        <v>36</v>
      </c>
      <c r="K18" s="58"/>
      <c r="L18" s="5" t="s">
        <v>112</v>
      </c>
      <c r="M18" s="6"/>
      <c r="N18" s="325"/>
      <c r="O18" s="326"/>
      <c r="P18" s="58" t="s">
        <v>36</v>
      </c>
      <c r="Q18" s="4"/>
      <c r="R18" s="31"/>
      <c r="S18" s="10"/>
      <c r="T18" s="31"/>
      <c r="U18" s="323"/>
      <c r="V18" s="15" t="s">
        <v>33</v>
      </c>
      <c r="W18" s="31" t="s">
        <v>51</v>
      </c>
      <c r="X18" s="31" t="s">
        <v>18</v>
      </c>
    </row>
    <row r="19" spans="1:24" ht="12.75">
      <c r="A19" s="31"/>
      <c r="B19" s="321"/>
      <c r="C19" s="193"/>
      <c r="D19" s="9" t="s">
        <v>29</v>
      </c>
      <c r="E19" s="45" t="s">
        <v>110</v>
      </c>
      <c r="F19" s="33"/>
      <c r="G19" s="39"/>
      <c r="H19" s="39"/>
      <c r="I19" s="30"/>
      <c r="J19" s="45" t="s">
        <v>37</v>
      </c>
      <c r="K19" s="47"/>
      <c r="L19" s="45" t="s">
        <v>113</v>
      </c>
      <c r="M19" s="46"/>
      <c r="N19" s="327"/>
      <c r="O19" s="328"/>
      <c r="P19" s="53" t="s">
        <v>39</v>
      </c>
      <c r="Q19" s="31"/>
      <c r="R19" s="31" t="s">
        <v>16</v>
      </c>
      <c r="S19" s="46"/>
      <c r="T19" s="30"/>
      <c r="U19" s="323"/>
      <c r="V19" s="31" t="s">
        <v>49</v>
      </c>
      <c r="W19" s="31" t="s">
        <v>49</v>
      </c>
      <c r="X19" s="31"/>
    </row>
    <row r="20" spans="1:24" ht="27.75">
      <c r="A20" s="31"/>
      <c r="B20" s="30" t="s">
        <v>6</v>
      </c>
      <c r="C20" s="192" t="s">
        <v>25</v>
      </c>
      <c r="D20" s="30"/>
      <c r="E20" s="55" t="s">
        <v>8</v>
      </c>
      <c r="F20" s="39" t="s">
        <v>3</v>
      </c>
      <c r="G20" s="59" t="s">
        <v>8</v>
      </c>
      <c r="H20" s="56" t="s">
        <v>3</v>
      </c>
      <c r="I20" s="41" t="s">
        <v>3</v>
      </c>
      <c r="J20" s="41" t="s">
        <v>8</v>
      </c>
      <c r="K20" s="32" t="s">
        <v>3</v>
      </c>
      <c r="L20" s="41" t="s">
        <v>8</v>
      </c>
      <c r="M20" s="59" t="s">
        <v>3</v>
      </c>
      <c r="N20" s="41"/>
      <c r="O20" s="39"/>
      <c r="P20" s="59" t="s">
        <v>8</v>
      </c>
      <c r="Q20" s="59" t="s">
        <v>3</v>
      </c>
      <c r="R20" s="41"/>
      <c r="S20" s="39">
        <v>0.5</v>
      </c>
      <c r="T20" s="50">
        <v>0.7</v>
      </c>
      <c r="U20" s="324"/>
      <c r="V20" s="30"/>
      <c r="W20" s="30"/>
      <c r="X20" s="30"/>
    </row>
    <row r="21" spans="1:24" ht="12.75">
      <c r="A21" s="15" t="s">
        <v>22</v>
      </c>
      <c r="B21" s="20">
        <v>1</v>
      </c>
      <c r="C21" s="15">
        <v>2</v>
      </c>
      <c r="D21" s="44">
        <v>2677</v>
      </c>
      <c r="E21" s="86" t="s">
        <v>111</v>
      </c>
      <c r="F21" s="38">
        <f aca="true" t="shared" si="0" ref="F21:F30">D21*30%</f>
        <v>803.1</v>
      </c>
      <c r="G21" s="87" t="s">
        <v>84</v>
      </c>
      <c r="H21" s="37">
        <f aca="true" t="shared" si="1" ref="H21:H30">D21*25%</f>
        <v>669.25</v>
      </c>
      <c r="I21" s="61">
        <v>7893.09</v>
      </c>
      <c r="J21" s="38"/>
      <c r="K21" s="52"/>
      <c r="L21" s="44">
        <v>20</v>
      </c>
      <c r="M21" s="38">
        <f>D21*20%</f>
        <v>535.4</v>
      </c>
      <c r="N21" s="38"/>
      <c r="O21" s="44"/>
      <c r="P21" s="88" t="s">
        <v>170</v>
      </c>
      <c r="Q21" s="38">
        <f>D21*8%</f>
        <v>214.16</v>
      </c>
      <c r="R21" s="36">
        <f aca="true" t="shared" si="2" ref="R21:R30">D21+F21+H21+I21+K21+M21+O21+Q21</f>
        <v>12792</v>
      </c>
      <c r="S21" s="38">
        <f aca="true" t="shared" si="3" ref="S21:S30">R21*50%</f>
        <v>6396</v>
      </c>
      <c r="T21" s="38">
        <f aca="true" t="shared" si="4" ref="T21:T30">R21*70%</f>
        <v>8954.4</v>
      </c>
      <c r="U21" s="36">
        <f>R21+S21+T21</f>
        <v>28142.4</v>
      </c>
      <c r="V21" s="36">
        <v>5889</v>
      </c>
      <c r="W21" s="38">
        <v>5899</v>
      </c>
      <c r="X21" s="34">
        <f aca="true" t="shared" si="5" ref="X21:X30">U21*12+V21+W21</f>
        <v>349496.80000000005</v>
      </c>
    </row>
    <row r="22" spans="1:24" ht="12.75">
      <c r="A22" s="15" t="s">
        <v>22</v>
      </c>
      <c r="B22" s="20">
        <v>0.75</v>
      </c>
      <c r="C22" s="13">
        <v>2</v>
      </c>
      <c r="D22" s="44">
        <v>2007</v>
      </c>
      <c r="E22" s="35">
        <v>30</v>
      </c>
      <c r="F22" s="38">
        <f t="shared" si="0"/>
        <v>602.1</v>
      </c>
      <c r="G22" s="44">
        <v>25</v>
      </c>
      <c r="H22" s="38">
        <f t="shared" si="1"/>
        <v>501.75</v>
      </c>
      <c r="I22" s="61">
        <v>5921.19</v>
      </c>
      <c r="J22" s="38"/>
      <c r="K22" s="38"/>
      <c r="L22" s="44">
        <v>20</v>
      </c>
      <c r="M22" s="38">
        <f>D22*20%</f>
        <v>401.40000000000003</v>
      </c>
      <c r="N22" s="44"/>
      <c r="O22" s="49"/>
      <c r="P22" s="44">
        <v>8</v>
      </c>
      <c r="Q22" s="38">
        <f>D22*8%</f>
        <v>160.56</v>
      </c>
      <c r="R22" s="36">
        <f t="shared" si="2"/>
        <v>9593.999999999998</v>
      </c>
      <c r="S22" s="36">
        <f t="shared" si="3"/>
        <v>4796.999999999999</v>
      </c>
      <c r="T22" s="38">
        <f t="shared" si="4"/>
        <v>6715.799999999998</v>
      </c>
      <c r="U22" s="38">
        <f>R22+S22+T22</f>
        <v>21106.799999999996</v>
      </c>
      <c r="V22" s="34">
        <v>5889</v>
      </c>
      <c r="W22" s="38">
        <v>5899</v>
      </c>
      <c r="X22" s="34">
        <f t="shared" si="5"/>
        <v>265069.6</v>
      </c>
    </row>
    <row r="23" spans="1:24" ht="12.75">
      <c r="A23" s="15" t="s">
        <v>168</v>
      </c>
      <c r="B23" s="20">
        <v>0.75</v>
      </c>
      <c r="C23" s="13">
        <v>1</v>
      </c>
      <c r="D23" s="195">
        <v>2007</v>
      </c>
      <c r="E23" s="35">
        <v>30</v>
      </c>
      <c r="F23" s="38">
        <f t="shared" si="0"/>
        <v>602.1</v>
      </c>
      <c r="G23" s="44">
        <v>25</v>
      </c>
      <c r="H23" s="38">
        <f t="shared" si="1"/>
        <v>501.75</v>
      </c>
      <c r="I23" s="61">
        <v>5499.72</v>
      </c>
      <c r="J23" s="51">
        <v>35</v>
      </c>
      <c r="K23" s="38">
        <f>D23*35%</f>
        <v>702.4499999999999</v>
      </c>
      <c r="L23" s="51">
        <v>10</v>
      </c>
      <c r="M23" s="38">
        <f>D23*10%</f>
        <v>200.70000000000002</v>
      </c>
      <c r="N23" s="44"/>
      <c r="O23" s="49"/>
      <c r="P23" s="44">
        <v>4</v>
      </c>
      <c r="Q23" s="38">
        <f>D23*4%</f>
        <v>80.28</v>
      </c>
      <c r="R23" s="36">
        <f t="shared" si="2"/>
        <v>9594.000000000002</v>
      </c>
      <c r="S23" s="36">
        <f t="shared" si="3"/>
        <v>4797.000000000001</v>
      </c>
      <c r="T23" s="38">
        <f t="shared" si="4"/>
        <v>6715.800000000001</v>
      </c>
      <c r="U23" s="38">
        <f aca="true" t="shared" si="6" ref="U23:U29">R23+S23+T23</f>
        <v>21106.800000000003</v>
      </c>
      <c r="V23" s="34">
        <v>4415</v>
      </c>
      <c r="W23" s="38">
        <v>4415</v>
      </c>
      <c r="X23" s="34">
        <f t="shared" si="5"/>
        <v>262111.60000000003</v>
      </c>
    </row>
    <row r="24" spans="1:24" ht="12.75">
      <c r="A24" s="15" t="s">
        <v>120</v>
      </c>
      <c r="B24" s="20">
        <v>1</v>
      </c>
      <c r="C24" s="13">
        <v>1</v>
      </c>
      <c r="D24" s="195">
        <v>2677</v>
      </c>
      <c r="E24" s="35">
        <v>30</v>
      </c>
      <c r="F24" s="38">
        <f t="shared" si="0"/>
        <v>803.1</v>
      </c>
      <c r="G24" s="44">
        <v>25</v>
      </c>
      <c r="H24" s="38">
        <f t="shared" si="1"/>
        <v>669.25</v>
      </c>
      <c r="I24" s="61">
        <v>7063.22</v>
      </c>
      <c r="J24" s="51">
        <v>35</v>
      </c>
      <c r="K24" s="38">
        <f>D24*35%</f>
        <v>936.9499999999999</v>
      </c>
      <c r="L24" s="51">
        <v>20</v>
      </c>
      <c r="M24" s="38">
        <v>535.4</v>
      </c>
      <c r="N24" s="44"/>
      <c r="O24" s="49"/>
      <c r="P24" s="44">
        <v>4</v>
      </c>
      <c r="Q24" s="38">
        <f>D24*4%</f>
        <v>107.08</v>
      </c>
      <c r="R24" s="36">
        <f t="shared" si="2"/>
        <v>12792</v>
      </c>
      <c r="S24" s="36">
        <f t="shared" si="3"/>
        <v>6396</v>
      </c>
      <c r="T24" s="38">
        <f t="shared" si="4"/>
        <v>8954.4</v>
      </c>
      <c r="U24" s="38">
        <f t="shared" si="6"/>
        <v>28142.4</v>
      </c>
      <c r="V24" s="34">
        <v>4415</v>
      </c>
      <c r="W24" s="38">
        <v>4415</v>
      </c>
      <c r="X24" s="34">
        <f t="shared" si="5"/>
        <v>346538.80000000005</v>
      </c>
    </row>
    <row r="25" spans="1:24" ht="12.75">
      <c r="A25" s="15" t="s">
        <v>19</v>
      </c>
      <c r="B25" s="211">
        <v>0.5</v>
      </c>
      <c r="C25" s="13">
        <v>1</v>
      </c>
      <c r="D25" s="195">
        <v>1776</v>
      </c>
      <c r="E25" s="35">
        <v>30</v>
      </c>
      <c r="F25" s="38">
        <f t="shared" si="0"/>
        <v>532.8</v>
      </c>
      <c r="G25" s="44">
        <v>25</v>
      </c>
      <c r="H25" s="38">
        <f t="shared" si="1"/>
        <v>444</v>
      </c>
      <c r="I25" s="61">
        <v>4050</v>
      </c>
      <c r="J25" s="36"/>
      <c r="K25" s="38"/>
      <c r="L25" s="51">
        <v>30</v>
      </c>
      <c r="M25" s="38">
        <v>532.8</v>
      </c>
      <c r="N25" s="44"/>
      <c r="O25" s="49"/>
      <c r="P25" s="44"/>
      <c r="Q25" s="38"/>
      <c r="R25" s="36">
        <f t="shared" si="2"/>
        <v>7335.6</v>
      </c>
      <c r="S25" s="36">
        <f t="shared" si="3"/>
        <v>3667.8</v>
      </c>
      <c r="T25" s="38">
        <f t="shared" si="4"/>
        <v>5134.92</v>
      </c>
      <c r="U25" s="38">
        <f t="shared" si="6"/>
        <v>16138.320000000002</v>
      </c>
      <c r="V25" s="34">
        <v>3907</v>
      </c>
      <c r="W25" s="38">
        <v>3907</v>
      </c>
      <c r="X25" s="34">
        <f t="shared" si="5"/>
        <v>201473.84000000003</v>
      </c>
    </row>
    <row r="26" spans="1:24" ht="12.75">
      <c r="A26" s="15" t="s">
        <v>23</v>
      </c>
      <c r="B26" s="211">
        <v>0.5</v>
      </c>
      <c r="C26" s="13">
        <v>1</v>
      </c>
      <c r="D26" s="195">
        <v>1776</v>
      </c>
      <c r="E26" s="35">
        <v>30</v>
      </c>
      <c r="F26" s="38">
        <f t="shared" si="0"/>
        <v>532.8</v>
      </c>
      <c r="G26" s="44">
        <v>25</v>
      </c>
      <c r="H26" s="38">
        <f t="shared" si="1"/>
        <v>444</v>
      </c>
      <c r="I26" s="61">
        <v>4050</v>
      </c>
      <c r="J26" s="36"/>
      <c r="K26" s="38"/>
      <c r="L26" s="51">
        <v>30</v>
      </c>
      <c r="M26" s="38">
        <f>D26*30%</f>
        <v>532.8</v>
      </c>
      <c r="N26" s="44"/>
      <c r="O26" s="49"/>
      <c r="P26" s="44"/>
      <c r="Q26" s="38"/>
      <c r="R26" s="36">
        <f t="shared" si="2"/>
        <v>7335.6</v>
      </c>
      <c r="S26" s="36">
        <f t="shared" si="3"/>
        <v>3667.8</v>
      </c>
      <c r="T26" s="38">
        <f t="shared" si="4"/>
        <v>5134.92</v>
      </c>
      <c r="U26" s="38">
        <f t="shared" si="6"/>
        <v>16138.320000000002</v>
      </c>
      <c r="V26" s="34">
        <v>3907</v>
      </c>
      <c r="W26" s="38">
        <v>3907</v>
      </c>
      <c r="X26" s="34">
        <f t="shared" si="5"/>
        <v>201473.84000000003</v>
      </c>
    </row>
    <row r="27" spans="1:24" ht="12.75">
      <c r="A27" s="15" t="s">
        <v>23</v>
      </c>
      <c r="B27" s="211">
        <v>0.5</v>
      </c>
      <c r="C27" s="13">
        <v>1</v>
      </c>
      <c r="D27" s="195">
        <v>1776</v>
      </c>
      <c r="E27" s="35">
        <v>30</v>
      </c>
      <c r="F27" s="38">
        <f t="shared" si="0"/>
        <v>532.8</v>
      </c>
      <c r="G27" s="44">
        <v>25</v>
      </c>
      <c r="H27" s="38">
        <f t="shared" si="1"/>
        <v>444</v>
      </c>
      <c r="I27" s="61">
        <v>4050</v>
      </c>
      <c r="J27" s="36"/>
      <c r="K27" s="38"/>
      <c r="L27" s="51">
        <v>30</v>
      </c>
      <c r="M27" s="38">
        <f>D27*30%</f>
        <v>532.8</v>
      </c>
      <c r="N27" s="44"/>
      <c r="O27" s="49"/>
      <c r="P27" s="44"/>
      <c r="Q27" s="38"/>
      <c r="R27" s="36">
        <f t="shared" si="2"/>
        <v>7335.6</v>
      </c>
      <c r="S27" s="36">
        <f t="shared" si="3"/>
        <v>3667.8</v>
      </c>
      <c r="T27" s="38">
        <f t="shared" si="4"/>
        <v>5134.92</v>
      </c>
      <c r="U27" s="38">
        <f t="shared" si="6"/>
        <v>16138.320000000002</v>
      </c>
      <c r="V27" s="34">
        <v>3907</v>
      </c>
      <c r="W27" s="38">
        <v>3907</v>
      </c>
      <c r="X27" s="34">
        <f t="shared" si="5"/>
        <v>201473.84000000003</v>
      </c>
    </row>
    <row r="28" spans="1:24" ht="12.75">
      <c r="A28" s="15" t="s">
        <v>27</v>
      </c>
      <c r="B28" s="20">
        <v>1</v>
      </c>
      <c r="C28" s="13">
        <v>2</v>
      </c>
      <c r="D28" s="195">
        <v>2677</v>
      </c>
      <c r="E28" s="35">
        <v>30</v>
      </c>
      <c r="F28" s="38">
        <f t="shared" si="0"/>
        <v>803.1</v>
      </c>
      <c r="G28" s="44">
        <v>25</v>
      </c>
      <c r="H28" s="38">
        <f t="shared" si="1"/>
        <v>669.25</v>
      </c>
      <c r="I28" s="61">
        <v>8107.25</v>
      </c>
      <c r="J28" s="36"/>
      <c r="K28" s="38"/>
      <c r="L28" s="51">
        <v>20</v>
      </c>
      <c r="M28" s="38">
        <f>D28*20%</f>
        <v>535.4</v>
      </c>
      <c r="N28" s="44"/>
      <c r="O28" s="49"/>
      <c r="P28" s="44"/>
      <c r="Q28" s="38"/>
      <c r="R28" s="36">
        <f t="shared" si="2"/>
        <v>12792</v>
      </c>
      <c r="S28" s="36">
        <f t="shared" si="3"/>
        <v>6396</v>
      </c>
      <c r="T28" s="38">
        <f t="shared" si="4"/>
        <v>8954.4</v>
      </c>
      <c r="U28" s="38">
        <f t="shared" si="6"/>
        <v>28142.4</v>
      </c>
      <c r="V28" s="34">
        <v>5889</v>
      </c>
      <c r="W28" s="38">
        <v>5889</v>
      </c>
      <c r="X28" s="34">
        <f t="shared" si="5"/>
        <v>349486.80000000005</v>
      </c>
    </row>
    <row r="29" spans="1:24" ht="12.75">
      <c r="A29" s="15" t="s">
        <v>198</v>
      </c>
      <c r="B29" s="20">
        <v>1</v>
      </c>
      <c r="C29" s="13">
        <v>2</v>
      </c>
      <c r="D29" s="195">
        <v>2677</v>
      </c>
      <c r="E29" s="35">
        <v>30</v>
      </c>
      <c r="F29" s="38">
        <f t="shared" si="0"/>
        <v>803.1</v>
      </c>
      <c r="G29" s="44">
        <v>25</v>
      </c>
      <c r="H29" s="38">
        <f t="shared" si="1"/>
        <v>669.25</v>
      </c>
      <c r="I29" s="61">
        <v>8642.65</v>
      </c>
      <c r="J29" s="36"/>
      <c r="K29" s="38"/>
      <c r="L29" s="51"/>
      <c r="M29" s="38"/>
      <c r="N29" s="44"/>
      <c r="O29" s="49"/>
      <c r="P29" s="44"/>
      <c r="Q29" s="38"/>
      <c r="R29" s="36">
        <f>D29+F29+H29+I29+K29+M29+Q29</f>
        <v>12792</v>
      </c>
      <c r="S29" s="36">
        <f t="shared" si="3"/>
        <v>6396</v>
      </c>
      <c r="T29" s="38">
        <f t="shared" si="4"/>
        <v>8954.4</v>
      </c>
      <c r="U29" s="38">
        <f t="shared" si="6"/>
        <v>28142.4</v>
      </c>
      <c r="V29" s="34">
        <v>5889</v>
      </c>
      <c r="W29" s="38">
        <v>5889</v>
      </c>
      <c r="X29" s="34">
        <f t="shared" si="5"/>
        <v>349486.80000000005</v>
      </c>
    </row>
    <row r="30" spans="1:24" ht="12.75">
      <c r="A30" s="15" t="s">
        <v>85</v>
      </c>
      <c r="B30" s="20">
        <v>1</v>
      </c>
      <c r="C30" s="13">
        <v>2</v>
      </c>
      <c r="D30" s="195">
        <v>2677</v>
      </c>
      <c r="E30" s="35">
        <v>30</v>
      </c>
      <c r="F30" s="38">
        <f t="shared" si="0"/>
        <v>803.1</v>
      </c>
      <c r="G30" s="44">
        <v>25</v>
      </c>
      <c r="H30" s="38">
        <f t="shared" si="1"/>
        <v>669.25</v>
      </c>
      <c r="I30" s="61">
        <v>8107.25</v>
      </c>
      <c r="J30" s="36"/>
      <c r="K30" s="38"/>
      <c r="L30" s="51">
        <v>20</v>
      </c>
      <c r="M30" s="38">
        <f>D30*20%</f>
        <v>535.4</v>
      </c>
      <c r="N30" s="44"/>
      <c r="O30" s="49"/>
      <c r="P30" s="44"/>
      <c r="Q30" s="38"/>
      <c r="R30" s="36">
        <f t="shared" si="2"/>
        <v>12792</v>
      </c>
      <c r="S30" s="36">
        <f t="shared" si="3"/>
        <v>6396</v>
      </c>
      <c r="T30" s="38">
        <f t="shared" si="4"/>
        <v>8954.4</v>
      </c>
      <c r="U30" s="38">
        <f>R30+S30+T30</f>
        <v>28142.4</v>
      </c>
      <c r="V30" s="34">
        <v>5889</v>
      </c>
      <c r="W30" s="38">
        <v>5889</v>
      </c>
      <c r="X30" s="34">
        <f t="shared" si="5"/>
        <v>349486.80000000005</v>
      </c>
    </row>
    <row r="31" spans="1:25" ht="12.75">
      <c r="A31" s="15" t="s">
        <v>20</v>
      </c>
      <c r="B31" s="20">
        <v>8</v>
      </c>
      <c r="C31" s="90"/>
      <c r="D31" s="218">
        <f>D21+D22+D23+D24+D25+D26+D27+D28+D30</f>
        <v>20050</v>
      </c>
      <c r="E31" s="20"/>
      <c r="F31" s="20">
        <f>F21+F22+F23+F24+F25+F26+F27+F28+F30</f>
        <v>6015.000000000001</v>
      </c>
      <c r="G31" s="20"/>
      <c r="H31" s="20">
        <f>H21+H22+H23+H24+H25+H26+H27+H28+H30</f>
        <v>5012.5</v>
      </c>
      <c r="I31" s="20">
        <f>I21+I22+I23+I24+I25+I26+I27+I28+I30</f>
        <v>54741.72</v>
      </c>
      <c r="J31" s="20"/>
      <c r="K31" s="20">
        <f>K22+K23+K24+K25+K27+L35+K28+K30+K21</f>
        <v>1639.3999999999999</v>
      </c>
      <c r="L31" s="20"/>
      <c r="M31" s="20">
        <f>M22+M23+M24+M25+M26+M27+M28+M30+M21</f>
        <v>4342.099999999999</v>
      </c>
      <c r="N31" s="20"/>
      <c r="O31" s="20"/>
      <c r="P31" s="20"/>
      <c r="Q31" s="20">
        <f>Q22+Q23+Q24+Q25+Q27+Q28+Q30+Q21</f>
        <v>562.08</v>
      </c>
      <c r="R31" s="20">
        <f>R21+R22+R23+R24+R25+R26+R27+R28+R30</f>
        <v>92362.8</v>
      </c>
      <c r="S31" s="20">
        <f>S21+S22+S23+S24+S25+S26+S27+S28+S30</f>
        <v>46181.4</v>
      </c>
      <c r="T31" s="20">
        <f>T21+T22+T23+T24+T25+T26+T27+T28+T30</f>
        <v>64653.96</v>
      </c>
      <c r="U31" s="20">
        <f>SUM(U21:U30)</f>
        <v>231340.56</v>
      </c>
      <c r="V31" s="20">
        <f>SUM(V21:V30)</f>
        <v>49996</v>
      </c>
      <c r="W31" s="20">
        <f>W21+W22+W23+W24+W25+W26+W27+W28+W30</f>
        <v>44127</v>
      </c>
      <c r="X31" s="20">
        <f>SUM(X21:X30)</f>
        <v>2876098.7199999997</v>
      </c>
      <c r="Y31" s="23"/>
    </row>
    <row r="32" spans="1:24" ht="12.75">
      <c r="A32" s="15" t="s">
        <v>114</v>
      </c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5"/>
      <c r="T32" s="15"/>
      <c r="U32" s="15"/>
      <c r="V32" s="20"/>
      <c r="W32" s="20"/>
      <c r="X32" s="20">
        <f>X31*30.2%</f>
        <v>868581.8134399999</v>
      </c>
    </row>
    <row r="33" spans="1:24" ht="12.75">
      <c r="A33" s="15" t="s">
        <v>95</v>
      </c>
      <c r="B33" s="15">
        <v>8</v>
      </c>
      <c r="C33" s="196"/>
      <c r="D33" s="197"/>
      <c r="E33" s="15"/>
      <c r="F33" s="196"/>
      <c r="G33" s="196"/>
      <c r="H33" s="196"/>
      <c r="I33" s="15"/>
      <c r="J33" s="15"/>
      <c r="K33" s="15"/>
      <c r="L33" s="15"/>
      <c r="M33" s="15"/>
      <c r="N33" s="15"/>
      <c r="O33" s="15"/>
      <c r="P33" s="15"/>
      <c r="Q33" s="15"/>
      <c r="R33" s="15" t="s">
        <v>136</v>
      </c>
      <c r="S33" s="15"/>
      <c r="T33" s="15"/>
      <c r="U33" s="15"/>
      <c r="V33" s="15"/>
      <c r="W33" s="15"/>
      <c r="X33" s="20">
        <f>X31+X32</f>
        <v>3744680.5334399994</v>
      </c>
    </row>
    <row r="34" spans="1:8" ht="12.75">
      <c r="A34" s="26"/>
      <c r="D34" s="29"/>
      <c r="F34" s="28"/>
      <c r="G34" s="28"/>
      <c r="H34" s="28"/>
    </row>
    <row r="35" spans="1:17" ht="12.75">
      <c r="A35" s="22"/>
      <c r="B35" s="22"/>
      <c r="C35" s="22"/>
      <c r="D35" s="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5" ht="12.75">
      <c r="A36" s="91" t="s">
        <v>24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5" ht="12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5" ht="12.75">
      <c r="A38" s="91" t="s">
        <v>137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12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0:15" ht="12.75">
      <c r="J40" s="91"/>
      <c r="K40" s="91"/>
      <c r="L40" s="91"/>
      <c r="M40" s="91"/>
      <c r="N40" s="91"/>
      <c r="O40" s="91"/>
    </row>
    <row r="41" spans="1:15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</sheetData>
  <sheetProtection/>
  <mergeCells count="7">
    <mergeCell ref="B17:B19"/>
    <mergeCell ref="U17:U20"/>
    <mergeCell ref="N18:O18"/>
    <mergeCell ref="N19:O19"/>
    <mergeCell ref="S1:BD1"/>
    <mergeCell ref="T15:W15"/>
    <mergeCell ref="S3:V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3" max="3" width="9.875" style="0" customWidth="1"/>
    <col min="4" max="4" width="9.25390625" style="0" customWidth="1"/>
    <col min="5" max="5" width="8.125" style="0" customWidth="1"/>
    <col min="6" max="6" width="11.375" style="0" customWidth="1"/>
    <col min="9" max="9" width="7.75390625" style="0" customWidth="1"/>
    <col min="13" max="13" width="11.875" style="0" customWidth="1"/>
  </cols>
  <sheetData>
    <row r="1" spans="9:46" ht="15.75">
      <c r="I1" s="275" t="s">
        <v>145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</row>
    <row r="2" ht="12.75">
      <c r="I2" t="s">
        <v>144</v>
      </c>
    </row>
    <row r="3" spans="3:13" ht="12.75">
      <c r="C3" t="s">
        <v>135</v>
      </c>
      <c r="I3" t="s">
        <v>153</v>
      </c>
      <c r="M3" s="221" t="s">
        <v>146</v>
      </c>
    </row>
    <row r="4" spans="11:13" ht="12.75">
      <c r="K4" t="s">
        <v>147</v>
      </c>
      <c r="M4" s="221" t="s">
        <v>154</v>
      </c>
    </row>
    <row r="5" spans="11:13" ht="12.75">
      <c r="K5" t="s">
        <v>150</v>
      </c>
      <c r="M5" s="221"/>
    </row>
    <row r="6" spans="3:5" ht="12.75">
      <c r="C6" s="91" t="s">
        <v>169</v>
      </c>
      <c r="D6" s="91"/>
      <c r="E6" s="91"/>
    </row>
    <row r="7" spans="3:6" ht="12.75">
      <c r="C7" t="s">
        <v>199</v>
      </c>
      <c r="D7" s="228"/>
      <c r="E7" s="228"/>
      <c r="F7" s="228"/>
    </row>
    <row r="9" spans="1:14" ht="12.75">
      <c r="A9" s="22" t="s">
        <v>0</v>
      </c>
      <c r="B9" s="22"/>
      <c r="C9" s="22"/>
      <c r="D9" s="228"/>
      <c r="E9" s="228"/>
      <c r="F9" s="228"/>
      <c r="G9" s="228"/>
      <c r="H9" s="228"/>
      <c r="I9" s="228"/>
      <c r="J9" s="22" t="s">
        <v>46</v>
      </c>
      <c r="K9" s="22"/>
      <c r="L9" s="22"/>
      <c r="M9" s="22"/>
      <c r="N9" s="22"/>
    </row>
    <row r="10" spans="1:14" ht="12.75">
      <c r="A10" s="22" t="s">
        <v>129</v>
      </c>
      <c r="B10" s="22"/>
      <c r="C10" s="22"/>
      <c r="D10" s="228"/>
      <c r="E10" s="228"/>
      <c r="F10" s="228"/>
      <c r="G10" s="228"/>
      <c r="H10" s="228"/>
      <c r="I10" s="228"/>
      <c r="J10" s="22" t="s">
        <v>133</v>
      </c>
      <c r="K10" s="22"/>
      <c r="L10" s="22"/>
      <c r="M10" s="22"/>
      <c r="N10" s="22"/>
    </row>
    <row r="11" spans="1:14" ht="12.75">
      <c r="A11" s="22" t="s">
        <v>45</v>
      </c>
      <c r="B11" s="22"/>
      <c r="C11" s="22"/>
      <c r="D11" s="228"/>
      <c r="E11" s="228"/>
      <c r="F11" s="228"/>
      <c r="G11" s="228"/>
      <c r="H11" s="228"/>
      <c r="I11" s="228"/>
      <c r="J11" s="22"/>
      <c r="K11" s="22"/>
      <c r="L11" s="22"/>
      <c r="M11" s="22"/>
      <c r="N11" s="22"/>
    </row>
    <row r="12" spans="1:14" ht="12.75">
      <c r="A12" s="22" t="s">
        <v>89</v>
      </c>
      <c r="B12" s="22"/>
      <c r="C12" s="22"/>
      <c r="D12" s="228"/>
      <c r="E12" s="228"/>
      <c r="F12" s="228"/>
      <c r="G12" s="228"/>
      <c r="H12" s="228"/>
      <c r="I12" s="228"/>
      <c r="J12" s="22" t="s">
        <v>123</v>
      </c>
      <c r="K12" s="22"/>
      <c r="L12" s="22"/>
      <c r="M12" s="22"/>
      <c r="N12" s="22"/>
    </row>
    <row r="13" spans="1:14" ht="12.75">
      <c r="A13" s="228"/>
      <c r="B13" s="228"/>
      <c r="C13" s="228"/>
      <c r="D13" s="228"/>
      <c r="E13" s="228"/>
      <c r="F13" s="228"/>
      <c r="G13" s="228"/>
      <c r="H13" s="228"/>
      <c r="I13" s="228"/>
      <c r="J13" s="22"/>
      <c r="K13" s="22"/>
      <c r="L13" s="22"/>
      <c r="M13" s="22"/>
      <c r="N13" s="22"/>
    </row>
    <row r="14" spans="1:13" ht="12.75">
      <c r="A14" s="91"/>
      <c r="B14" s="91"/>
      <c r="C14" s="91"/>
      <c r="D14" s="91"/>
      <c r="E14" s="91"/>
      <c r="F14" s="91"/>
      <c r="G14" s="91"/>
      <c r="H14" s="91"/>
      <c r="I14" s="91"/>
      <c r="J14" s="228" t="s">
        <v>155</v>
      </c>
      <c r="K14" s="228"/>
      <c r="L14" s="228"/>
      <c r="M14" s="228"/>
    </row>
    <row r="15" spans="1:13" ht="12.75">
      <c r="A15" s="91"/>
      <c r="B15" s="91"/>
      <c r="C15" s="91"/>
      <c r="D15" s="91"/>
      <c r="E15" s="91"/>
      <c r="F15" s="91"/>
      <c r="G15" s="91"/>
      <c r="H15" s="91"/>
      <c r="I15" s="91"/>
      <c r="J15" t="s">
        <v>188</v>
      </c>
      <c r="K15" s="228"/>
      <c r="L15" s="228"/>
      <c r="M15" s="228"/>
    </row>
    <row r="16" spans="1:13" ht="12.75">
      <c r="A16" s="91"/>
      <c r="B16" s="91"/>
      <c r="C16" s="91"/>
      <c r="D16" s="91"/>
      <c r="E16" s="91"/>
      <c r="F16" s="91"/>
      <c r="G16" s="91"/>
      <c r="H16" s="91"/>
      <c r="I16" s="91"/>
      <c r="J16" s="228"/>
      <c r="K16" s="228"/>
      <c r="L16" s="228"/>
      <c r="M16" s="228"/>
    </row>
    <row r="17" spans="1:13" ht="21" customHeight="1">
      <c r="A17" s="102" t="s">
        <v>56</v>
      </c>
      <c r="B17" s="103" t="s">
        <v>58</v>
      </c>
      <c r="C17" s="232" t="s">
        <v>60</v>
      </c>
      <c r="D17" s="229" t="s">
        <v>61</v>
      </c>
      <c r="E17" s="102" t="s">
        <v>181</v>
      </c>
      <c r="F17" s="230"/>
      <c r="G17" s="102"/>
      <c r="H17" s="102"/>
      <c r="I17" s="102"/>
      <c r="J17" s="102"/>
      <c r="K17" s="102" t="s">
        <v>62</v>
      </c>
      <c r="L17" s="102" t="s">
        <v>63</v>
      </c>
      <c r="M17" s="102"/>
    </row>
    <row r="18" spans="1:13" ht="24" customHeight="1">
      <c r="A18" s="247" t="s">
        <v>57</v>
      </c>
      <c r="B18" s="258" t="s">
        <v>59</v>
      </c>
      <c r="C18" s="248" t="s">
        <v>55</v>
      </c>
      <c r="D18" s="259" t="s">
        <v>60</v>
      </c>
      <c r="E18" s="247" t="s">
        <v>178</v>
      </c>
      <c r="F18" s="260" t="s">
        <v>90</v>
      </c>
      <c r="G18" s="247" t="s">
        <v>16</v>
      </c>
      <c r="H18" s="247" t="s">
        <v>31</v>
      </c>
      <c r="I18" s="247" t="s">
        <v>30</v>
      </c>
      <c r="J18" s="247" t="s">
        <v>5</v>
      </c>
      <c r="K18" s="249" t="s">
        <v>183</v>
      </c>
      <c r="L18" s="247" t="s">
        <v>40</v>
      </c>
      <c r="M18" s="247" t="s">
        <v>13</v>
      </c>
    </row>
    <row r="19" spans="1:13" ht="35.25" customHeight="1" hidden="1">
      <c r="A19" s="247"/>
      <c r="B19" s="248" t="s">
        <v>6</v>
      </c>
      <c r="C19" s="248"/>
      <c r="D19" s="249">
        <v>0.4</v>
      </c>
      <c r="E19" s="250" t="s">
        <v>175</v>
      </c>
      <c r="F19" s="249">
        <v>0.04</v>
      </c>
      <c r="G19" s="247"/>
      <c r="H19" s="249">
        <v>0.7</v>
      </c>
      <c r="I19" s="249">
        <v>0.5</v>
      </c>
      <c r="J19" s="247"/>
      <c r="K19" s="251" t="s">
        <v>183</v>
      </c>
      <c r="L19" s="247" t="s">
        <v>64</v>
      </c>
      <c r="M19" s="247" t="s">
        <v>18</v>
      </c>
    </row>
    <row r="20" spans="1:13" ht="12.75" customHeight="1">
      <c r="A20" s="253"/>
      <c r="B20" s="253"/>
      <c r="C20" s="253"/>
      <c r="D20" s="254">
        <v>0.4</v>
      </c>
      <c r="E20" s="255"/>
      <c r="F20" s="254">
        <v>0.04</v>
      </c>
      <c r="G20" s="253"/>
      <c r="H20" s="254">
        <v>0.7</v>
      </c>
      <c r="I20" s="254">
        <v>0.5</v>
      </c>
      <c r="J20" s="253"/>
      <c r="K20" s="254">
        <v>0.4</v>
      </c>
      <c r="L20" s="254">
        <v>0.6</v>
      </c>
      <c r="M20" s="254"/>
    </row>
    <row r="21" spans="1:13" ht="12.75">
      <c r="A21" s="97" t="s">
        <v>54</v>
      </c>
      <c r="B21" s="97">
        <v>1</v>
      </c>
      <c r="C21" s="231">
        <v>13049</v>
      </c>
      <c r="D21" s="231">
        <f>C21*40%</f>
        <v>5219.6</v>
      </c>
      <c r="E21" s="231">
        <v>2715</v>
      </c>
      <c r="F21" s="231">
        <f>C21*4%</f>
        <v>521.96</v>
      </c>
      <c r="G21" s="231">
        <f>C21+D21+E21+F21</f>
        <v>21505.559999999998</v>
      </c>
      <c r="H21" s="231">
        <f>G21*70%</f>
        <v>15053.891999999998</v>
      </c>
      <c r="I21" s="97">
        <f>G21*50%</f>
        <v>10752.779999999999</v>
      </c>
      <c r="J21" s="231">
        <f>G21+H21+I21</f>
        <v>47312.231999999996</v>
      </c>
      <c r="K21" s="231">
        <f>C21*60%</f>
        <v>7829.4</v>
      </c>
      <c r="L21" s="231">
        <v>11149</v>
      </c>
      <c r="M21" s="231">
        <f>J21*12+K21+L21</f>
        <v>586725.184</v>
      </c>
    </row>
    <row r="22" spans="1:13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2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2.75">
      <c r="A24" s="99" t="s">
        <v>4</v>
      </c>
      <c r="B24" s="99">
        <v>1</v>
      </c>
      <c r="C24" s="100">
        <f>C21</f>
        <v>13049</v>
      </c>
      <c r="D24" s="100">
        <f>D21</f>
        <v>5219.6</v>
      </c>
      <c r="E24" s="100"/>
      <c r="F24" s="100">
        <f>F21</f>
        <v>521.96</v>
      </c>
      <c r="G24" s="100">
        <f aca="true" t="shared" si="0" ref="G24:M24">G21</f>
        <v>21505.559999999998</v>
      </c>
      <c r="H24" s="100">
        <f t="shared" si="0"/>
        <v>15053.891999999998</v>
      </c>
      <c r="I24" s="99">
        <f t="shared" si="0"/>
        <v>10752.779999999999</v>
      </c>
      <c r="J24" s="100">
        <f t="shared" si="0"/>
        <v>47312.231999999996</v>
      </c>
      <c r="K24" s="100">
        <f t="shared" si="0"/>
        <v>7829.4</v>
      </c>
      <c r="L24" s="100">
        <f t="shared" si="0"/>
        <v>11149</v>
      </c>
      <c r="M24" s="100">
        <f t="shared" si="0"/>
        <v>586725.184</v>
      </c>
    </row>
    <row r="25" spans="1:13" ht="22.5" customHeight="1">
      <c r="A25" s="99" t="s">
        <v>86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>
        <f>M24*30.2%</f>
        <v>177191.005568</v>
      </c>
    </row>
    <row r="26" spans="1:13" ht="28.5" customHeight="1">
      <c r="A26" s="99" t="s">
        <v>91</v>
      </c>
      <c r="B26" s="99">
        <v>1</v>
      </c>
      <c r="C26" s="100"/>
      <c r="D26" s="100"/>
      <c r="E26" s="100"/>
      <c r="F26" s="100"/>
      <c r="G26" s="100"/>
      <c r="H26" s="100"/>
      <c r="I26" s="99"/>
      <c r="J26" s="100"/>
      <c r="K26" s="99"/>
      <c r="L26" s="99"/>
      <c r="M26" s="100">
        <f>M24+M25</f>
        <v>763916.189568</v>
      </c>
    </row>
    <row r="27" spans="1:13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2.75">
      <c r="A29" s="91" t="s">
        <v>177</v>
      </c>
      <c r="B29" s="91"/>
      <c r="C29" s="91"/>
      <c r="D29" s="91"/>
      <c r="E29" s="252"/>
      <c r="F29" s="91"/>
      <c r="G29" s="91"/>
      <c r="H29" s="91"/>
      <c r="I29" s="91"/>
      <c r="J29" s="91"/>
      <c r="K29" s="91"/>
      <c r="L29" s="91"/>
      <c r="M29" s="91"/>
    </row>
    <row r="30" spans="1:13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.75">
      <c r="A32" s="91" t="s">
        <v>65</v>
      </c>
      <c r="B32" s="91"/>
      <c r="C32" s="91"/>
      <c r="D32" s="91" t="s">
        <v>176</v>
      </c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</sheetData>
  <sheetProtection/>
  <mergeCells count="1">
    <mergeCell ref="I1:AT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6">
      <selection activeCell="A1" sqref="A1:AW34"/>
    </sheetView>
  </sheetViews>
  <sheetFormatPr defaultColWidth="9.00390625" defaultRowHeight="12.75"/>
  <cols>
    <col min="1" max="1" width="20.25390625" style="0" customWidth="1"/>
    <col min="2" max="2" width="3.25390625" style="0" customWidth="1"/>
    <col min="3" max="3" width="3.00390625" style="0" hidden="1" customWidth="1"/>
    <col min="4" max="4" width="5.25390625" style="0" customWidth="1"/>
    <col min="5" max="5" width="4.375" style="0" customWidth="1"/>
    <col min="6" max="6" width="6.25390625" style="0" customWidth="1"/>
    <col min="7" max="7" width="7.25390625" style="0" customWidth="1"/>
    <col min="8" max="8" width="3.375" style="0" customWidth="1"/>
    <col min="9" max="9" width="6.25390625" style="0" customWidth="1"/>
    <col min="10" max="10" width="3.625" style="0" customWidth="1"/>
    <col min="11" max="11" width="6.875" style="0" customWidth="1"/>
    <col min="12" max="12" width="8.00390625" style="0" customWidth="1"/>
    <col min="13" max="13" width="7.625" style="0" customWidth="1"/>
    <col min="14" max="14" width="7.75390625" style="0" customWidth="1"/>
    <col min="15" max="15" width="7.625" style="0" customWidth="1"/>
    <col min="16" max="16" width="8.125" style="0" customWidth="1"/>
    <col min="17" max="17" width="7.25390625" style="0" customWidth="1"/>
    <col min="18" max="18" width="9.125" style="0" customWidth="1"/>
  </cols>
  <sheetData>
    <row r="1" spans="12:49" ht="15.75">
      <c r="L1" s="275" t="s">
        <v>145</v>
      </c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</row>
    <row r="2" ht="12.75">
      <c r="L2" t="s">
        <v>144</v>
      </c>
    </row>
    <row r="3" ht="12.75">
      <c r="L3" t="s">
        <v>153</v>
      </c>
    </row>
    <row r="4" ht="12.75">
      <c r="P4" s="221" t="s">
        <v>146</v>
      </c>
    </row>
    <row r="5" spans="2:16" ht="18">
      <c r="B5" s="223"/>
      <c r="C5" s="223"/>
      <c r="D5" s="228"/>
      <c r="E5" s="228" t="s">
        <v>135</v>
      </c>
      <c r="P5" s="21" t="s">
        <v>154</v>
      </c>
    </row>
    <row r="6" spans="2:16" ht="12.75">
      <c r="B6" s="228"/>
      <c r="C6" s="228"/>
      <c r="D6" s="228"/>
      <c r="E6" s="228"/>
      <c r="F6" s="228"/>
      <c r="G6" s="228"/>
      <c r="N6" t="s">
        <v>150</v>
      </c>
      <c r="P6" s="21"/>
    </row>
    <row r="7" spans="1:4" ht="12.75">
      <c r="A7" s="222" t="s">
        <v>166</v>
      </c>
      <c r="B7" s="228"/>
      <c r="C7" s="228"/>
      <c r="D7" s="228"/>
    </row>
    <row r="8" spans="5:13" ht="12.75">
      <c r="E8" s="234" t="s">
        <v>148</v>
      </c>
      <c r="F8" s="234"/>
      <c r="G8" s="234"/>
      <c r="H8" s="234"/>
      <c r="I8" s="244" t="s">
        <v>171</v>
      </c>
      <c r="J8" s="222" t="s">
        <v>172</v>
      </c>
      <c r="K8" s="235"/>
      <c r="L8" s="235"/>
      <c r="M8" s="235"/>
    </row>
    <row r="9" spans="1:18" ht="12.75">
      <c r="A9" s="228" t="s">
        <v>136</v>
      </c>
      <c r="B9" s="228"/>
      <c r="C9" s="228"/>
      <c r="D9" s="228"/>
      <c r="E9" t="s">
        <v>201</v>
      </c>
      <c r="F9" s="2"/>
      <c r="G9" s="2"/>
      <c r="H9" s="2"/>
      <c r="I9" s="2"/>
      <c r="J9" s="2"/>
      <c r="K9" s="228"/>
      <c r="L9" s="228"/>
      <c r="M9" s="228"/>
      <c r="N9" s="228" t="s">
        <v>46</v>
      </c>
      <c r="O9" s="228"/>
      <c r="P9" s="228"/>
      <c r="Q9" s="228"/>
      <c r="R9" s="228"/>
    </row>
    <row r="10" spans="1:19" ht="12.75">
      <c r="A10" s="228" t="s">
        <v>122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33" t="s">
        <v>131</v>
      </c>
      <c r="N10" s="233" t="s">
        <v>135</v>
      </c>
      <c r="O10" s="228"/>
      <c r="P10" s="228"/>
      <c r="Q10" s="228"/>
      <c r="R10" s="228"/>
      <c r="S10" s="91"/>
    </row>
    <row r="11" spans="1:18" ht="12.75">
      <c r="A11" s="228" t="s">
        <v>45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</row>
    <row r="12" spans="1:18" ht="12.75">
      <c r="A12" s="228" t="s">
        <v>115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 t="s">
        <v>134</v>
      </c>
      <c r="O12" s="228"/>
      <c r="P12" s="228"/>
      <c r="Q12" s="228"/>
      <c r="R12" s="228"/>
    </row>
    <row r="13" spans="1:18" ht="12.75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</row>
    <row r="14" spans="1:18" ht="12.7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 t="s">
        <v>149</v>
      </c>
      <c r="N14" s="228"/>
      <c r="O14" s="228"/>
      <c r="P14" s="228"/>
      <c r="Q14" s="228"/>
      <c r="R14" s="228"/>
    </row>
    <row r="15" spans="1:18" ht="12.75">
      <c r="A15" s="228"/>
      <c r="B15" s="228"/>
      <c r="C15" s="228"/>
      <c r="D15" s="228"/>
      <c r="L15" s="228"/>
      <c r="M15" t="s">
        <v>189</v>
      </c>
      <c r="N15" s="22"/>
      <c r="O15" s="22"/>
      <c r="P15" s="22"/>
      <c r="Q15" s="22"/>
      <c r="R15" s="228"/>
    </row>
    <row r="16" spans="1:18" ht="12.7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18" ht="24">
      <c r="A17" s="4" t="s">
        <v>1</v>
      </c>
      <c r="B17" s="284" t="s">
        <v>2</v>
      </c>
      <c r="C17" s="4"/>
      <c r="D17" s="224" t="s">
        <v>151</v>
      </c>
      <c r="E17" s="48"/>
      <c r="F17" s="48"/>
      <c r="G17" s="43"/>
      <c r="H17" s="43"/>
      <c r="I17" s="43"/>
      <c r="J17" s="43"/>
      <c r="K17" s="43"/>
      <c r="L17" s="4"/>
      <c r="M17" s="6" t="s">
        <v>17</v>
      </c>
      <c r="N17" s="4" t="s">
        <v>21</v>
      </c>
      <c r="O17" s="332" t="s">
        <v>95</v>
      </c>
      <c r="P17" s="60" t="s">
        <v>48</v>
      </c>
      <c r="Q17" s="58" t="s">
        <v>50</v>
      </c>
      <c r="R17" s="4" t="s">
        <v>43</v>
      </c>
    </row>
    <row r="18" spans="1:18" ht="12.75">
      <c r="A18" s="31"/>
      <c r="B18" s="321"/>
      <c r="C18" s="193"/>
      <c r="D18" s="225"/>
      <c r="E18" s="261" t="s">
        <v>38</v>
      </c>
      <c r="F18" s="57"/>
      <c r="G18" s="245"/>
      <c r="H18" s="5" t="s">
        <v>112</v>
      </c>
      <c r="I18" s="58"/>
      <c r="J18" s="58" t="s">
        <v>36</v>
      </c>
      <c r="K18" s="5"/>
      <c r="L18" s="31"/>
      <c r="M18" s="10"/>
      <c r="N18" s="31"/>
      <c r="O18" s="333"/>
      <c r="P18" s="31" t="s">
        <v>33</v>
      </c>
      <c r="Q18" s="53" t="s">
        <v>51</v>
      </c>
      <c r="R18" s="31" t="s">
        <v>18</v>
      </c>
    </row>
    <row r="19" spans="1:18" ht="48">
      <c r="A19" s="31"/>
      <c r="B19" s="321"/>
      <c r="C19" s="193"/>
      <c r="D19" s="225" t="s">
        <v>152</v>
      </c>
      <c r="E19" s="32"/>
      <c r="F19" s="33"/>
      <c r="G19" s="246" t="s">
        <v>180</v>
      </c>
      <c r="H19" s="45" t="s">
        <v>113</v>
      </c>
      <c r="I19" s="47"/>
      <c r="J19" s="53" t="s">
        <v>39</v>
      </c>
      <c r="K19" s="9"/>
      <c r="L19" s="226" t="s">
        <v>4</v>
      </c>
      <c r="M19" s="46"/>
      <c r="N19" s="30"/>
      <c r="O19" s="333"/>
      <c r="P19" s="31" t="s">
        <v>121</v>
      </c>
      <c r="Q19" s="53" t="s">
        <v>121</v>
      </c>
      <c r="R19" s="31"/>
    </row>
    <row r="20" spans="1:18" ht="21.75" customHeight="1">
      <c r="A20" s="31"/>
      <c r="B20" s="30" t="s">
        <v>6</v>
      </c>
      <c r="C20" s="192" t="s">
        <v>25</v>
      </c>
      <c r="D20" s="226"/>
      <c r="E20" s="59" t="s">
        <v>8</v>
      </c>
      <c r="F20" s="56" t="s">
        <v>3</v>
      </c>
      <c r="G20" s="41" t="s">
        <v>3</v>
      </c>
      <c r="H20" s="41" t="s">
        <v>8</v>
      </c>
      <c r="I20" s="59" t="s">
        <v>3</v>
      </c>
      <c r="J20" s="59" t="s">
        <v>8</v>
      </c>
      <c r="K20" s="216" t="s">
        <v>3</v>
      </c>
      <c r="L20" s="227"/>
      <c r="M20" s="207">
        <v>0.5</v>
      </c>
      <c r="N20" s="208">
        <v>0.7</v>
      </c>
      <c r="O20" s="334"/>
      <c r="P20" s="41"/>
      <c r="Q20" s="47"/>
      <c r="R20" s="30"/>
    </row>
    <row r="21" spans="1:18" ht="12.75">
      <c r="A21" s="15" t="s">
        <v>190</v>
      </c>
      <c r="B21" s="210">
        <v>1</v>
      </c>
      <c r="C21" s="217"/>
      <c r="D21" s="44">
        <v>2677</v>
      </c>
      <c r="E21" s="87" t="s">
        <v>84</v>
      </c>
      <c r="F21" s="38">
        <f>D21*25%</f>
        <v>669.25</v>
      </c>
      <c r="G21" s="87" t="s">
        <v>197</v>
      </c>
      <c r="H21" s="87" t="s">
        <v>111</v>
      </c>
      <c r="I21" s="44">
        <v>710</v>
      </c>
      <c r="J21" s="87">
        <v>4</v>
      </c>
      <c r="K21" s="38">
        <f>D21*4%</f>
        <v>107.08</v>
      </c>
      <c r="L21" s="34">
        <f>D21+F21+G21+I21+K21</f>
        <v>12792</v>
      </c>
      <c r="M21" s="38">
        <f>L21*50%</f>
        <v>6396</v>
      </c>
      <c r="N21" s="38">
        <f>L21*70%</f>
        <v>8954.4</v>
      </c>
      <c r="O21" s="36">
        <f>L21+M21+N21</f>
        <v>28142.4</v>
      </c>
      <c r="P21" s="36">
        <v>11778.8</v>
      </c>
      <c r="Q21" s="38">
        <v>11778.8</v>
      </c>
      <c r="R21" s="194">
        <f>O21*12+P21+Q21</f>
        <v>361266.4</v>
      </c>
    </row>
    <row r="22" spans="1:18" ht="12.75">
      <c r="A22" s="15" t="s">
        <v>143</v>
      </c>
      <c r="B22" s="210">
        <v>1</v>
      </c>
      <c r="C22" s="217"/>
      <c r="D22" s="44">
        <v>2677</v>
      </c>
      <c r="E22" s="87" t="s">
        <v>84</v>
      </c>
      <c r="F22" s="38">
        <f>D22*25%</f>
        <v>669.25</v>
      </c>
      <c r="G22" s="87" t="s">
        <v>197</v>
      </c>
      <c r="H22" s="87" t="s">
        <v>111</v>
      </c>
      <c r="I22" s="44">
        <v>710</v>
      </c>
      <c r="J22" s="87">
        <v>4</v>
      </c>
      <c r="K22" s="38">
        <f>D22*4%</f>
        <v>107.08</v>
      </c>
      <c r="L22" s="34">
        <f>D22+F22+G22+I22+K22</f>
        <v>12792</v>
      </c>
      <c r="M22" s="38">
        <f>L22*50%</f>
        <v>6396</v>
      </c>
      <c r="N22" s="38">
        <f>L22*70%</f>
        <v>8954.4</v>
      </c>
      <c r="O22" s="36">
        <f>L22+M22+N22</f>
        <v>28142.4</v>
      </c>
      <c r="P22" s="36">
        <v>11778.8</v>
      </c>
      <c r="Q22" s="38">
        <v>11778.8</v>
      </c>
      <c r="R22" s="194">
        <f>O22*12+P22+Q22</f>
        <v>361266.4</v>
      </c>
    </row>
    <row r="23" spans="1:18" ht="12.75">
      <c r="A23" s="15"/>
      <c r="B23" s="34"/>
      <c r="C23" s="13"/>
      <c r="D23" s="195"/>
      <c r="E23" s="44"/>
      <c r="F23" s="38"/>
      <c r="G23" s="38"/>
      <c r="H23" s="36"/>
      <c r="I23" s="38"/>
      <c r="J23" s="44"/>
      <c r="K23" s="38"/>
      <c r="L23" s="36"/>
      <c r="M23" s="36"/>
      <c r="N23" s="38"/>
      <c r="O23" s="38"/>
      <c r="P23" s="34"/>
      <c r="Q23" s="38"/>
      <c r="R23" s="34"/>
    </row>
    <row r="24" spans="1:18" ht="12.75">
      <c r="A24" s="15" t="s">
        <v>4</v>
      </c>
      <c r="B24" s="195">
        <v>2</v>
      </c>
      <c r="C24" s="13"/>
      <c r="D24" s="195">
        <f>SUM(D21:D23)</f>
        <v>5354</v>
      </c>
      <c r="E24" s="44"/>
      <c r="F24" s="38">
        <f>SUM(F21:F23)</f>
        <v>1338.5</v>
      </c>
      <c r="G24" s="38">
        <f>G21+G22</f>
        <v>17257.34</v>
      </c>
      <c r="H24" s="51"/>
      <c r="I24" s="38">
        <f>SUM(I21:I23)</f>
        <v>1420</v>
      </c>
      <c r="J24" s="44"/>
      <c r="K24" s="38">
        <f>SUM(K21:K23)</f>
        <v>214.16</v>
      </c>
      <c r="L24" s="36">
        <f>D24+F24+G24+I24+K24</f>
        <v>25584</v>
      </c>
      <c r="M24" s="36">
        <f>L24*50%</f>
        <v>12792</v>
      </c>
      <c r="N24" s="38">
        <f>L24*70%</f>
        <v>17908.8</v>
      </c>
      <c r="O24" s="38">
        <f>SUM(O21:O23)</f>
        <v>56284.8</v>
      </c>
      <c r="P24" s="34">
        <f>SUM(P21:P23)</f>
        <v>23557.6</v>
      </c>
      <c r="Q24" s="38">
        <f>SUM(Q21:Q23)</f>
        <v>23557.6</v>
      </c>
      <c r="R24" s="34">
        <f>SUM(R21:R23)</f>
        <v>722532.8</v>
      </c>
    </row>
    <row r="25" spans="1:18" ht="12.75">
      <c r="A25" s="15" t="s">
        <v>114</v>
      </c>
      <c r="B25" s="20"/>
      <c r="C25" s="15"/>
      <c r="D25" s="195"/>
      <c r="E25" s="195"/>
      <c r="F25" s="34"/>
      <c r="G25" s="34"/>
      <c r="H25" s="195"/>
      <c r="I25" s="34"/>
      <c r="J25" s="195"/>
      <c r="K25" s="34"/>
      <c r="L25" s="34"/>
      <c r="M25" s="34"/>
      <c r="N25" s="34"/>
      <c r="O25" s="34"/>
      <c r="P25" s="34"/>
      <c r="Q25" s="34"/>
      <c r="R25" s="34">
        <f>R24*30.2%</f>
        <v>218204.9056</v>
      </c>
    </row>
    <row r="26" spans="1:18" ht="12.75">
      <c r="A26" s="15" t="s">
        <v>95</v>
      </c>
      <c r="B26" s="20"/>
      <c r="C26" s="15"/>
      <c r="D26" s="195"/>
      <c r="E26" s="195"/>
      <c r="F26" s="34"/>
      <c r="G26" s="34"/>
      <c r="H26" s="195"/>
      <c r="I26" s="34"/>
      <c r="J26" s="195"/>
      <c r="K26" s="34"/>
      <c r="L26" s="34"/>
      <c r="M26" s="34"/>
      <c r="N26" s="34"/>
      <c r="O26" s="34"/>
      <c r="P26" s="34"/>
      <c r="Q26" s="34"/>
      <c r="R26" s="34">
        <f>R24+R25</f>
        <v>940737.7056</v>
      </c>
    </row>
    <row r="27" spans="1:18" ht="12.75">
      <c r="A27" s="10"/>
      <c r="B27" s="67"/>
      <c r="C27" s="10"/>
      <c r="D27" s="209"/>
      <c r="E27" s="209"/>
      <c r="F27" s="89"/>
      <c r="G27" s="89"/>
      <c r="H27" s="209"/>
      <c r="I27" s="89"/>
      <c r="J27" s="209"/>
      <c r="K27" s="89"/>
      <c r="L27" s="89"/>
      <c r="M27" s="89"/>
      <c r="N27" s="89"/>
      <c r="O27" s="89"/>
      <c r="P27" s="89"/>
      <c r="Q27" s="89"/>
      <c r="R27" s="89"/>
    </row>
    <row r="28" spans="1:6" ht="12.75">
      <c r="A28" s="26"/>
      <c r="D28" s="29"/>
      <c r="E28" s="28"/>
      <c r="F28" s="28"/>
    </row>
    <row r="29" spans="1:11" ht="12.75">
      <c r="A29" s="91" t="s">
        <v>24</v>
      </c>
      <c r="B29" s="91"/>
      <c r="C29" s="91"/>
      <c r="D29" s="91"/>
      <c r="E29" s="91"/>
      <c r="F29" s="91"/>
      <c r="G29" s="91"/>
      <c r="H29" s="22"/>
      <c r="I29" s="22"/>
      <c r="J29" s="22"/>
      <c r="K29" s="22"/>
    </row>
    <row r="30" spans="1:9" ht="12.75">
      <c r="A30" s="91"/>
      <c r="B30" s="91"/>
      <c r="C30" s="91"/>
      <c r="D30" s="91"/>
      <c r="E30" s="91"/>
      <c r="F30" s="91"/>
      <c r="G30" s="91"/>
      <c r="H30" s="91"/>
      <c r="I30" s="91"/>
    </row>
    <row r="31" spans="1:9" ht="12.75">
      <c r="A31" s="91" t="s">
        <v>141</v>
      </c>
      <c r="B31" s="91"/>
      <c r="C31" s="91"/>
      <c r="D31" s="91"/>
      <c r="E31" s="91"/>
      <c r="F31" s="91"/>
      <c r="G31" s="91"/>
      <c r="H31" s="91"/>
      <c r="I31" s="91"/>
    </row>
    <row r="32" spans="1:9" ht="12.75">
      <c r="A32" s="91"/>
      <c r="B32" s="91"/>
      <c r="C32" s="91"/>
      <c r="D32" s="91"/>
      <c r="E32" s="91"/>
      <c r="F32" s="91"/>
      <c r="G32" s="91"/>
      <c r="H32" s="91"/>
      <c r="I32" s="91"/>
    </row>
    <row r="33" spans="1:9" ht="12.75">
      <c r="A33" s="91"/>
      <c r="B33" s="91"/>
      <c r="C33" s="91"/>
      <c r="D33" s="91"/>
      <c r="E33" s="91"/>
      <c r="F33" s="91"/>
      <c r="G33" s="91"/>
      <c r="H33" s="91"/>
      <c r="I33" s="91"/>
    </row>
    <row r="34" spans="1:9" ht="12.75">
      <c r="A34" s="91"/>
      <c r="B34" s="91"/>
      <c r="C34" s="91"/>
      <c r="D34" s="91"/>
      <c r="E34" s="91"/>
      <c r="F34" s="91"/>
      <c r="G34" s="91"/>
      <c r="H34" s="91"/>
      <c r="I34" s="91"/>
    </row>
    <row r="35" spans="1:9" ht="12.75">
      <c r="A35" s="91"/>
      <c r="B35" s="91"/>
      <c r="C35" s="91"/>
      <c r="D35" s="91"/>
      <c r="E35" s="91"/>
      <c r="F35" s="91"/>
      <c r="G35" s="91"/>
      <c r="H35" s="91"/>
      <c r="I35" s="91"/>
    </row>
  </sheetData>
  <sheetProtection/>
  <mergeCells count="3">
    <mergeCell ref="B17:B19"/>
    <mergeCell ref="O17:O20"/>
    <mergeCell ref="L1:AW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Сельсовет</dc:creator>
  <cp:keywords/>
  <dc:description/>
  <cp:lastModifiedBy>БУХ_Улаган</cp:lastModifiedBy>
  <cp:lastPrinted>2021-11-15T03:27:40Z</cp:lastPrinted>
  <dcterms:created xsi:type="dcterms:W3CDTF">2009-01-10T07:24:21Z</dcterms:created>
  <dcterms:modified xsi:type="dcterms:W3CDTF">2021-11-15T03:28:00Z</dcterms:modified>
  <cp:category/>
  <cp:version/>
  <cp:contentType/>
  <cp:contentStatus/>
</cp:coreProperties>
</file>